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0" windowWidth="2175" windowHeight="1170" activeTab="7"/>
  </bookViews>
  <sheets>
    <sheet name="KTŞ 2013" sheetId="10" r:id="rId1"/>
    <sheet name="Dizayn" sheetId="1" r:id="rId2"/>
    <sheet name="1 Sıcak Silo" sheetId="2" r:id="rId3"/>
    <sheet name="2 Malaksör" sheetId="3" r:id="rId4"/>
    <sheet name="3 Ekstrasyon" sheetId="4" r:id="rId5"/>
    <sheet name="3 Marshall" sheetId="7" r:id="rId6"/>
    <sheet name="4 Karot Num." sheetId="5" r:id="rId7"/>
    <sheet name="5 BSK" sheetId="11" r:id="rId8"/>
    <sheet name="Dizayn İçin Marshall" sheetId="9" state="hidden" r:id="rId9"/>
    <sheet name="KATSAYILAR" sheetId="8" state="hidden" r:id="rId10"/>
  </sheets>
  <definedNames>
    <definedName name="BSK" localSheetId="7">'5 BSK'!$A$1:$Z$72</definedName>
    <definedName name="Ekstraksiyon" localSheetId="4">'3 Ekstrasyon'!$A$1:$AG$58,'3 Ekstrasyon'!$AI$1:$BO$58</definedName>
    <definedName name="Karot" localSheetId="6">'4 Karot Num.'!$A$1:$AG$41</definedName>
    <definedName name="Malaksör" localSheetId="3">'2 Malaksör'!$A$1:$AG$58</definedName>
    <definedName name="Marshall" localSheetId="5">'3 Marshall'!$A$1:$AG$58</definedName>
    <definedName name="Sıcak_Silo" localSheetId="2">'1 Sıcak Silo'!$A$1:$AG$58</definedName>
    <definedName name="_xlnm.Print_Area" localSheetId="2">'1 Sıcak Silo'!$A$1:$AG$58</definedName>
    <definedName name="_xlnm.Print_Area" localSheetId="3">'2 Malaksör'!$A$1:$AG$58</definedName>
    <definedName name="_xlnm.Print_Area" localSheetId="4">'3 Ekstrasyon'!$A$1:$AG$58,'3 Ekstrasyon'!$AI$1:$BO$58</definedName>
    <definedName name="_xlnm.Print_Area" localSheetId="5">'3 Marshall'!$A$1:$AG$58</definedName>
    <definedName name="_xlnm.Print_Area" localSheetId="6">'4 Karot Num.'!$A$1:$AG$41</definedName>
    <definedName name="_xlnm.Print_Area" localSheetId="7">'5 BSK'!$A$1:$Z$72</definedName>
    <definedName name="_xlnm.Print_Area" localSheetId="1">Dizayn!$A$1:$G$70</definedName>
    <definedName name="_xlnm.Print_Area" localSheetId="8">'Dizayn İçin Marshall'!$A$1:$U$35</definedName>
  </definedNames>
  <calcPr calcId="145621"/>
</workbook>
</file>

<file path=xl/calcChain.xml><?xml version="1.0" encoding="utf-8"?>
<calcChain xmlns="http://schemas.openxmlformats.org/spreadsheetml/2006/main">
  <c r="J22" i="7" l="1"/>
  <c r="J23" i="7"/>
  <c r="J24" i="7"/>
  <c r="J25" i="7"/>
  <c r="P43" i="7"/>
  <c r="A44" i="7"/>
  <c r="O44" i="7"/>
  <c r="AC44" i="7"/>
  <c r="AF44" i="7"/>
  <c r="BH46" i="7"/>
  <c r="BH45" i="7"/>
  <c r="V12" i="5"/>
  <c r="T14" i="7" l="1"/>
  <c r="T15" i="7"/>
  <c r="T16" i="7"/>
  <c r="T17" i="7"/>
  <c r="T18" i="7"/>
  <c r="T19" i="7"/>
  <c r="J14" i="2"/>
  <c r="M14" i="2"/>
  <c r="P14" i="2"/>
  <c r="S14" i="2"/>
  <c r="G14" i="2"/>
  <c r="BH10" i="4" l="1"/>
  <c r="AO10" i="4"/>
  <c r="BH9" i="4"/>
  <c r="AO9" i="4"/>
  <c r="BH8" i="4"/>
  <c r="BH7" i="4"/>
  <c r="AO7" i="4"/>
  <c r="Z8" i="4"/>
  <c r="Z10" i="5"/>
  <c r="G10" i="5"/>
  <c r="Z9" i="5"/>
  <c r="G9" i="5"/>
  <c r="Z8" i="5"/>
  <c r="Z7" i="5"/>
  <c r="G7" i="5"/>
  <c r="Z10" i="7"/>
  <c r="G10" i="7"/>
  <c r="Z9" i="7"/>
  <c r="G9" i="7"/>
  <c r="Z8" i="7"/>
  <c r="Z7" i="7"/>
  <c r="G7" i="7"/>
  <c r="Z10" i="4"/>
  <c r="G10" i="4"/>
  <c r="Z9" i="4"/>
  <c r="G9" i="4"/>
  <c r="Z7" i="4"/>
  <c r="G7" i="4"/>
  <c r="Z10" i="2"/>
  <c r="G10" i="2"/>
  <c r="Z9" i="2"/>
  <c r="G9" i="2"/>
  <c r="Z8" i="2"/>
  <c r="Z7" i="2"/>
  <c r="G7" i="2"/>
  <c r="Z10" i="3"/>
  <c r="G10" i="3"/>
  <c r="Z9" i="3"/>
  <c r="G9" i="3"/>
  <c r="Z8" i="3"/>
  <c r="Z7" i="3"/>
  <c r="G7" i="3"/>
  <c r="V34" i="7"/>
  <c r="G25" i="11" l="1"/>
  <c r="W24" i="11"/>
  <c r="Q24" i="11"/>
  <c r="I24" i="11"/>
  <c r="S23" i="11"/>
  <c r="Q23" i="11"/>
  <c r="I23" i="11"/>
  <c r="S22" i="11"/>
  <c r="Q22" i="11"/>
  <c r="I22" i="11"/>
  <c r="S21" i="11"/>
  <c r="Q21" i="11"/>
  <c r="I21" i="11"/>
  <c r="S20" i="11"/>
  <c r="Q20" i="11"/>
  <c r="I20" i="11"/>
  <c r="I19" i="11"/>
  <c r="S17" i="11"/>
  <c r="S15" i="11"/>
  <c r="S62" i="11" l="1"/>
  <c r="J62" i="11"/>
  <c r="G62" i="11"/>
  <c r="M62" i="11" s="1"/>
  <c r="S61" i="11"/>
  <c r="J61" i="11"/>
  <c r="G61" i="11"/>
  <c r="M61" i="11" s="1"/>
  <c r="S60" i="11"/>
  <c r="J60" i="11"/>
  <c r="G60" i="11"/>
  <c r="M60" i="11" s="1"/>
  <c r="S59" i="11"/>
  <c r="J59" i="11"/>
  <c r="G59" i="11"/>
  <c r="M59" i="11" s="1"/>
  <c r="S58" i="11"/>
  <c r="J58" i="11"/>
  <c r="G58" i="11"/>
  <c r="M58" i="11" s="1"/>
  <c r="S57" i="11"/>
  <c r="J57" i="11"/>
  <c r="G57" i="11"/>
  <c r="M57" i="11" s="1"/>
  <c r="S56" i="11"/>
  <c r="M56" i="11"/>
  <c r="J56" i="11"/>
  <c r="G56" i="11"/>
  <c r="S55" i="11"/>
  <c r="M55" i="11"/>
  <c r="J55" i="11"/>
  <c r="G55" i="11"/>
  <c r="S54" i="11"/>
  <c r="J54" i="11"/>
  <c r="G54" i="11"/>
  <c r="M54" i="11" s="1"/>
  <c r="S53" i="11"/>
  <c r="J53" i="11"/>
  <c r="G53" i="11"/>
  <c r="M53" i="11" s="1"/>
  <c r="S52" i="11"/>
  <c r="J52" i="11"/>
  <c r="G52" i="11"/>
  <c r="M52" i="11" s="1"/>
  <c r="S51" i="11"/>
  <c r="J51" i="11"/>
  <c r="G51" i="11"/>
  <c r="M51" i="11" s="1"/>
  <c r="S50" i="11"/>
  <c r="J50" i="11"/>
  <c r="G50" i="11"/>
  <c r="M50" i="11" s="1"/>
  <c r="S49" i="11"/>
  <c r="J49" i="11"/>
  <c r="G49" i="11"/>
  <c r="M49" i="11" s="1"/>
  <c r="S48" i="11"/>
  <c r="J48" i="11"/>
  <c r="G48" i="11"/>
  <c r="M48" i="11" s="1"/>
  <c r="J47" i="11"/>
  <c r="G47" i="11"/>
  <c r="M47" i="11" s="1"/>
  <c r="B46" i="11"/>
  <c r="W44" i="11"/>
  <c r="Z40" i="11"/>
  <c r="Y40" i="11"/>
  <c r="P40" i="11"/>
  <c r="O40" i="11"/>
  <c r="N40" i="11"/>
  <c r="M40" i="11"/>
  <c r="L40" i="11"/>
  <c r="K40" i="11"/>
  <c r="J40" i="11"/>
  <c r="I40" i="11"/>
  <c r="H40" i="11"/>
  <c r="G40" i="11"/>
  <c r="K39" i="11"/>
  <c r="Y33" i="11"/>
  <c r="W33" i="11"/>
  <c r="U33" i="11"/>
  <c r="S33" i="11"/>
  <c r="Q33" i="11"/>
  <c r="O33" i="11"/>
  <c r="M33" i="11"/>
  <c r="K33" i="11"/>
  <c r="I33" i="11"/>
  <c r="G33" i="11"/>
  <c r="F30" i="11"/>
  <c r="E30" i="11"/>
  <c r="F29" i="11"/>
  <c r="E29" i="11"/>
  <c r="F28" i="11"/>
  <c r="E28" i="11"/>
  <c r="F27" i="11"/>
  <c r="E27" i="11"/>
  <c r="F26" i="11"/>
  <c r="E26" i="11"/>
  <c r="D26" i="11" s="1"/>
  <c r="D27" i="11" s="1"/>
  <c r="D28" i="11" s="1"/>
  <c r="D29" i="11" s="1"/>
  <c r="D30" i="11" s="1"/>
  <c r="Z25" i="11"/>
  <c r="Y25" i="11"/>
  <c r="P25" i="11"/>
  <c r="O25" i="11"/>
  <c r="N25" i="11"/>
  <c r="M25" i="11"/>
  <c r="L25" i="11"/>
  <c r="K25" i="11"/>
  <c r="J25" i="11"/>
  <c r="I25" i="11"/>
  <c r="M11" i="11"/>
  <c r="J11" i="11"/>
  <c r="G11" i="11"/>
  <c r="B11" i="11"/>
  <c r="D7" i="11"/>
  <c r="T33" i="7"/>
  <c r="W33" i="7" s="1"/>
  <c r="AF33" i="7" s="1"/>
  <c r="J33" i="7"/>
  <c r="T32" i="7"/>
  <c r="W32" i="7" s="1"/>
  <c r="AF32" i="7" s="1"/>
  <c r="J32" i="7"/>
  <c r="P42" i="7"/>
  <c r="P36" i="7"/>
  <c r="P35" i="7"/>
  <c r="F71" i="4"/>
  <c r="D71" i="4"/>
  <c r="F66" i="4"/>
  <c r="D66" i="4"/>
  <c r="F65" i="4"/>
  <c r="D65" i="4"/>
  <c r="F64" i="4"/>
  <c r="D64" i="4"/>
  <c r="F63" i="4"/>
  <c r="D63" i="4"/>
  <c r="F62" i="4"/>
  <c r="D62" i="4"/>
  <c r="AN71" i="4"/>
  <c r="AL71" i="4"/>
  <c r="AN66" i="4"/>
  <c r="AL66" i="4"/>
  <c r="AN65" i="4"/>
  <c r="AL65" i="4"/>
  <c r="AN64" i="4"/>
  <c r="AL64" i="4"/>
  <c r="AN63" i="4"/>
  <c r="AL63" i="4"/>
  <c r="AN62" i="4"/>
  <c r="AL62" i="4"/>
  <c r="AI63" i="4"/>
  <c r="AI64" i="4"/>
  <c r="AI65" i="4"/>
  <c r="AI66" i="4"/>
  <c r="AI67" i="4"/>
  <c r="AI68" i="4"/>
  <c r="AI69" i="4"/>
  <c r="AI70" i="4"/>
  <c r="AI71" i="4"/>
  <c r="AI62" i="4"/>
  <c r="AC49" i="7" l="1"/>
  <c r="P39" i="7" l="1"/>
  <c r="J49" i="1" l="1"/>
  <c r="L49" i="1"/>
  <c r="K49" i="1"/>
  <c r="J15" i="7"/>
  <c r="J16" i="7"/>
  <c r="J17" i="7"/>
  <c r="J18" i="7"/>
  <c r="J19" i="7"/>
  <c r="J20" i="7"/>
  <c r="J21" i="7"/>
  <c r="J26" i="7"/>
  <c r="J27" i="7"/>
  <c r="J28" i="7"/>
  <c r="J29" i="7"/>
  <c r="J30" i="7"/>
  <c r="J31" i="7"/>
  <c r="J14" i="7"/>
  <c r="BM18" i="4"/>
  <c r="BM17" i="4"/>
  <c r="AE18" i="4"/>
  <c r="AE17" i="4"/>
  <c r="W15" i="7"/>
  <c r="W16" i="7"/>
  <c r="W17" i="7"/>
  <c r="W18" i="7"/>
  <c r="W19" i="7"/>
  <c r="T20" i="7"/>
  <c r="W20" i="7" s="1"/>
  <c r="AF20" i="7" s="1"/>
  <c r="T21" i="7"/>
  <c r="W21" i="7" s="1"/>
  <c r="AF21" i="7" s="1"/>
  <c r="T22" i="7"/>
  <c r="W22" i="7" s="1"/>
  <c r="AF22" i="7" s="1"/>
  <c r="T23" i="7"/>
  <c r="W23" i="7" s="1"/>
  <c r="AF23" i="7" s="1"/>
  <c r="T24" i="7"/>
  <c r="W24" i="7" s="1"/>
  <c r="T25" i="7"/>
  <c r="W25" i="7" s="1"/>
  <c r="T26" i="7"/>
  <c r="W26" i="7" s="1"/>
  <c r="T27" i="7"/>
  <c r="W27" i="7" s="1"/>
  <c r="T28" i="7"/>
  <c r="W28" i="7" s="1"/>
  <c r="T29" i="7"/>
  <c r="W29" i="7" s="1"/>
  <c r="T30" i="7"/>
  <c r="W30" i="7" s="1"/>
  <c r="AF30" i="7" s="1"/>
  <c r="T31" i="7"/>
  <c r="W31" i="7" s="1"/>
  <c r="AF31" i="7" s="1"/>
  <c r="W14" i="7"/>
  <c r="AF14" i="7" s="1"/>
  <c r="BH36" i="7" l="1"/>
  <c r="AF24" i="7"/>
  <c r="A32" i="5"/>
  <c r="I13" i="5"/>
  <c r="O31" i="5"/>
  <c r="P62" i="11" s="1"/>
  <c r="O27" i="5"/>
  <c r="P58" i="11" s="1"/>
  <c r="O23" i="5"/>
  <c r="P54" i="11" s="1"/>
  <c r="O19" i="5"/>
  <c r="P50" i="11" s="1"/>
  <c r="O29" i="5"/>
  <c r="P60" i="11" s="1"/>
  <c r="O17" i="5"/>
  <c r="P48" i="11" s="1"/>
  <c r="O24" i="5"/>
  <c r="P55" i="11" s="1"/>
  <c r="O16" i="5"/>
  <c r="P47" i="11" s="1"/>
  <c r="O30" i="5"/>
  <c r="P61" i="11" s="1"/>
  <c r="O26" i="5"/>
  <c r="P57" i="11" s="1"/>
  <c r="O22" i="5"/>
  <c r="P53" i="11" s="1"/>
  <c r="O18" i="5"/>
  <c r="P49" i="11" s="1"/>
  <c r="O25" i="5"/>
  <c r="P56" i="11" s="1"/>
  <c r="O28" i="5"/>
  <c r="P59" i="11" s="1"/>
  <c r="O20" i="5"/>
  <c r="P51" i="11" s="1"/>
  <c r="O21" i="5"/>
  <c r="P52" i="11" s="1"/>
  <c r="BH40" i="7"/>
  <c r="Y16" i="5"/>
  <c r="S47" i="11" s="1"/>
  <c r="A11" i="4"/>
  <c r="AI11" i="4"/>
  <c r="AK23" i="4"/>
  <c r="AI23" i="4"/>
  <c r="AK18" i="4"/>
  <c r="AI18" i="4"/>
  <c r="AK17" i="4"/>
  <c r="AI17" i="4"/>
  <c r="AK16" i="4"/>
  <c r="AI16" i="4"/>
  <c r="AK15" i="4"/>
  <c r="AI15" i="4"/>
  <c r="AK14" i="4"/>
  <c r="AI14" i="4"/>
  <c r="O32" i="5" l="1"/>
  <c r="BM22" i="4"/>
  <c r="AK41" i="1"/>
  <c r="AJ41" i="1"/>
  <c r="AH41" i="1"/>
  <c r="AG41" i="1"/>
  <c r="AE41" i="1"/>
  <c r="AD41" i="1"/>
  <c r="AB41" i="1"/>
  <c r="AA41" i="1"/>
  <c r="Y41" i="1"/>
  <c r="X41" i="1"/>
  <c r="V41" i="1"/>
  <c r="U41" i="1"/>
  <c r="S41" i="1"/>
  <c r="R41" i="1"/>
  <c r="P41" i="1"/>
  <c r="O41" i="1"/>
  <c r="L41" i="1"/>
  <c r="M41" i="1"/>
  <c r="A35" i="1"/>
  <c r="C23" i="4"/>
  <c r="C18" i="4"/>
  <c r="C17" i="4"/>
  <c r="C16" i="4"/>
  <c r="C15" i="4"/>
  <c r="C14" i="4"/>
  <c r="A23" i="4"/>
  <c r="A18" i="4"/>
  <c r="A17" i="4"/>
  <c r="A16" i="4"/>
  <c r="A15" i="4"/>
  <c r="A14" i="4"/>
  <c r="J23" i="3"/>
  <c r="G23" i="3"/>
  <c r="J18" i="3"/>
  <c r="G18" i="3"/>
  <c r="J17" i="3"/>
  <c r="G17" i="3"/>
  <c r="J16" i="3"/>
  <c r="G16" i="3"/>
  <c r="J15" i="3"/>
  <c r="G15" i="3"/>
  <c r="J14" i="3"/>
  <c r="G14" i="3"/>
  <c r="D24" i="2"/>
  <c r="D19" i="2"/>
  <c r="D18" i="2"/>
  <c r="D17" i="2"/>
  <c r="D16" i="2"/>
  <c r="D15" i="2"/>
  <c r="A24" i="2"/>
  <c r="A19" i="2"/>
  <c r="A18" i="2"/>
  <c r="A17" i="2"/>
  <c r="A16" i="2"/>
  <c r="A15" i="2"/>
  <c r="M35" i="7" l="1"/>
  <c r="E41" i="11"/>
  <c r="AI20" i="4"/>
  <c r="S40" i="11"/>
  <c r="D68" i="4"/>
  <c r="AL68" i="4"/>
  <c r="AD33" i="7"/>
  <c r="AD32" i="7"/>
  <c r="A20" i="4"/>
  <c r="A21" i="2"/>
  <c r="G20" i="3"/>
  <c r="E69" i="1"/>
  <c r="S43" i="7" s="1"/>
  <c r="E68" i="1"/>
  <c r="S42" i="7" s="1"/>
  <c r="E67" i="1"/>
  <c r="E66" i="1"/>
  <c r="E65" i="1"/>
  <c r="S39" i="7" s="1"/>
  <c r="E62" i="1"/>
  <c r="S36" i="7" s="1"/>
  <c r="E53" i="1"/>
  <c r="N25" i="1"/>
  <c r="M25" i="1"/>
  <c r="L25" i="1"/>
  <c r="A37" i="1"/>
  <c r="A36" i="1"/>
  <c r="J35" i="1"/>
  <c r="A34" i="1"/>
  <c r="B37" i="1"/>
  <c r="B36" i="1"/>
  <c r="B35" i="1"/>
  <c r="T25" i="11" s="1"/>
  <c r="B34" i="1"/>
  <c r="J30" i="1"/>
  <c r="J31" i="1"/>
  <c r="J32" i="1"/>
  <c r="J33" i="1"/>
  <c r="J38" i="1"/>
  <c r="J29" i="1"/>
  <c r="D36" i="1"/>
  <c r="D30" i="1"/>
  <c r="C30" i="1"/>
  <c r="D31" i="1"/>
  <c r="D38" i="1"/>
  <c r="C29" i="1"/>
  <c r="BM20" i="4"/>
  <c r="D37" i="1"/>
  <c r="C32" i="1"/>
  <c r="D33" i="1"/>
  <c r="D29" i="1"/>
  <c r="D32" i="1"/>
  <c r="D34" i="1"/>
  <c r="D35" i="1"/>
  <c r="BH39" i="7" l="1"/>
  <c r="M37" i="7" s="1"/>
  <c r="BH38" i="7"/>
  <c r="AK21" i="4"/>
  <c r="F69" i="4"/>
  <c r="AN69" i="4"/>
  <c r="AK19" i="4"/>
  <c r="F67" i="4"/>
  <c r="AN67" i="4"/>
  <c r="AI19" i="4"/>
  <c r="R25" i="11"/>
  <c r="R40" i="11"/>
  <c r="Q25" i="11"/>
  <c r="Q40" i="11"/>
  <c r="D67" i="4"/>
  <c r="AL67" i="4"/>
  <c r="F68" i="4"/>
  <c r="AN68" i="4"/>
  <c r="S25" i="11"/>
  <c r="T40" i="11"/>
  <c r="AI21" i="4"/>
  <c r="V25" i="11"/>
  <c r="U25" i="11"/>
  <c r="AL69" i="4"/>
  <c r="V40" i="11"/>
  <c r="U40" i="11"/>
  <c r="D69" i="4"/>
  <c r="AK22" i="4"/>
  <c r="F70" i="4"/>
  <c r="AN70" i="4"/>
  <c r="AI22" i="4"/>
  <c r="W40" i="11"/>
  <c r="W25" i="11"/>
  <c r="D70" i="4"/>
  <c r="AL70" i="4"/>
  <c r="X25" i="11"/>
  <c r="X40" i="11"/>
  <c r="M42" i="7"/>
  <c r="J42" i="7"/>
  <c r="M36" i="7"/>
  <c r="M34" i="7"/>
  <c r="J34" i="7"/>
  <c r="A25" i="7"/>
  <c r="A26" i="7" s="1"/>
  <c r="A27" i="7" s="1"/>
  <c r="A28" i="7" s="1"/>
  <c r="A29" i="7" s="1"/>
  <c r="A30" i="7" s="1"/>
  <c r="A31" i="7" s="1"/>
  <c r="A32" i="7" s="1"/>
  <c r="A33" i="7" s="1"/>
  <c r="AK20" i="4"/>
  <c r="AW14" i="4"/>
  <c r="AW17" i="4"/>
  <c r="AW15" i="4"/>
  <c r="J37" i="1"/>
  <c r="J20" i="3"/>
  <c r="C20" i="4"/>
  <c r="D21" i="2"/>
  <c r="C22" i="4"/>
  <c r="J22" i="3"/>
  <c r="D23" i="2"/>
  <c r="A22" i="4"/>
  <c r="G22" i="3"/>
  <c r="A23" i="2"/>
  <c r="C19" i="4"/>
  <c r="J19" i="3"/>
  <c r="D20" i="2"/>
  <c r="J34" i="1"/>
  <c r="A19" i="4"/>
  <c r="A20" i="2"/>
  <c r="G19" i="3"/>
  <c r="J21" i="3"/>
  <c r="C21" i="4"/>
  <c r="D22" i="2"/>
  <c r="J36" i="1"/>
  <c r="A21" i="4"/>
  <c r="A22" i="2"/>
  <c r="G21" i="3"/>
  <c r="P41" i="7"/>
  <c r="P40" i="7"/>
  <c r="E29" i="1"/>
  <c r="F29" i="1"/>
  <c r="E30" i="1"/>
  <c r="F30" i="1"/>
  <c r="F38" i="1"/>
  <c r="F32" i="1"/>
  <c r="F33" i="1"/>
  <c r="F31" i="1"/>
  <c r="AB13" i="5"/>
  <c r="E32" i="1"/>
  <c r="C37" i="1"/>
  <c r="F37" i="1"/>
  <c r="Q32" i="5"/>
  <c r="F35" i="1"/>
  <c r="C38" i="1"/>
  <c r="C31" i="1"/>
  <c r="F36" i="1"/>
  <c r="C35" i="1"/>
  <c r="C34" i="1"/>
  <c r="AE20" i="4"/>
  <c r="F34" i="1"/>
  <c r="C36" i="1"/>
  <c r="E37" i="1"/>
  <c r="C33" i="1"/>
  <c r="AE12" i="5" l="1"/>
  <c r="AQ17" i="4"/>
  <c r="M42" i="11" s="1"/>
  <c r="AQ15" i="4"/>
  <c r="AQ22" i="4"/>
  <c r="AQ14" i="4"/>
  <c r="AW18" i="4"/>
  <c r="AW16" i="4"/>
  <c r="AW23" i="4"/>
  <c r="AW22" i="4"/>
  <c r="AW19" i="4"/>
  <c r="AW21" i="4"/>
  <c r="AW20" i="4"/>
  <c r="C41" i="11"/>
  <c r="J36" i="7"/>
  <c r="W39" i="11"/>
  <c r="AT15" i="4"/>
  <c r="AT22" i="4"/>
  <c r="AT17" i="4"/>
  <c r="AT14" i="4"/>
  <c r="P37" i="7"/>
  <c r="E33" i="1"/>
  <c r="E38" i="1"/>
  <c r="E36" i="1"/>
  <c r="E35" i="1"/>
  <c r="E31" i="1"/>
  <c r="E34" i="1"/>
  <c r="AT16" i="4" l="1"/>
  <c r="AQ16" i="4"/>
  <c r="AQ23" i="4"/>
  <c r="AY46" i="7" s="1"/>
  <c r="BC29" i="7" s="1"/>
  <c r="AT23" i="4"/>
  <c r="AQ18" i="4"/>
  <c r="O42" i="11" s="1"/>
  <c r="AT18" i="4"/>
  <c r="AT20" i="4"/>
  <c r="AQ20" i="4"/>
  <c r="S42" i="11" s="1"/>
  <c r="AQ21" i="4"/>
  <c r="U42" i="11" s="1"/>
  <c r="AT21" i="4"/>
  <c r="AQ19" i="4"/>
  <c r="AY44" i="7" s="1"/>
  <c r="AT19" i="4"/>
  <c r="Y42" i="11"/>
  <c r="G42" i="11"/>
  <c r="I42" i="11"/>
  <c r="K42" i="11"/>
  <c r="W42" i="11"/>
  <c r="BM24" i="4"/>
  <c r="AX30" i="7" l="1"/>
  <c r="AY45" i="7"/>
  <c r="BC22" i="7" s="1"/>
  <c r="Q42" i="11"/>
  <c r="AP49" i="2"/>
  <c r="AQ49" i="2" s="1"/>
  <c r="S24" i="2" s="1"/>
  <c r="AP48" i="2"/>
  <c r="AQ48" i="2" s="1"/>
  <c r="S23" i="2" s="1"/>
  <c r="AP47" i="2"/>
  <c r="AQ47" i="2" s="1"/>
  <c r="S22" i="2" s="1"/>
  <c r="AP46" i="2"/>
  <c r="AQ46" i="2" s="1"/>
  <c r="S21" i="2" s="1"/>
  <c r="AP45" i="2"/>
  <c r="AQ45" i="2" s="1"/>
  <c r="S20" i="2" s="1"/>
  <c r="AP44" i="2"/>
  <c r="AQ44" i="2" s="1"/>
  <c r="S19" i="2" s="1"/>
  <c r="AP43" i="2"/>
  <c r="AQ43" i="2" s="1"/>
  <c r="S18" i="2" s="1"/>
  <c r="AP42" i="2"/>
  <c r="AQ42" i="2" s="1"/>
  <c r="S17" i="2" s="1"/>
  <c r="AP41" i="2"/>
  <c r="AQ41" i="2" s="1"/>
  <c r="S16" i="2" s="1"/>
  <c r="AP40" i="2"/>
  <c r="AQ40" i="2" s="1"/>
  <c r="S15" i="2" s="1"/>
  <c r="G30" i="11" s="1"/>
  <c r="AM37" i="2"/>
  <c r="AV34" i="2"/>
  <c r="AW34" i="2" s="1"/>
  <c r="P24" i="2" s="1"/>
  <c r="AP34" i="2"/>
  <c r="AQ34" i="2" s="1"/>
  <c r="M24" i="2" s="1"/>
  <c r="AV33" i="2"/>
  <c r="AW33" i="2" s="1"/>
  <c r="P23" i="2" s="1"/>
  <c r="AP33" i="2"/>
  <c r="AQ33" i="2" s="1"/>
  <c r="M23" i="2" s="1"/>
  <c r="AV32" i="2"/>
  <c r="AW32" i="2" s="1"/>
  <c r="P22" i="2" s="1"/>
  <c r="AP32" i="2"/>
  <c r="AQ32" i="2" s="1"/>
  <c r="M22" i="2" s="1"/>
  <c r="AV31" i="2"/>
  <c r="AW31" i="2" s="1"/>
  <c r="P21" i="2" s="1"/>
  <c r="AP31" i="2"/>
  <c r="AQ31" i="2" s="1"/>
  <c r="M21" i="2" s="1"/>
  <c r="AV30" i="2"/>
  <c r="AW30" i="2" s="1"/>
  <c r="P20" i="2" s="1"/>
  <c r="AP30" i="2"/>
  <c r="AQ30" i="2" s="1"/>
  <c r="M20" i="2" s="1"/>
  <c r="AV29" i="2"/>
  <c r="AW29" i="2" s="1"/>
  <c r="P19" i="2" s="1"/>
  <c r="AP29" i="2"/>
  <c r="AQ29" i="2" s="1"/>
  <c r="M19" i="2" s="1"/>
  <c r="AV28" i="2"/>
  <c r="AW28" i="2" s="1"/>
  <c r="P18" i="2" s="1"/>
  <c r="AP28" i="2"/>
  <c r="AQ28" i="2" s="1"/>
  <c r="M18" i="2" s="1"/>
  <c r="AV27" i="2"/>
  <c r="AW27" i="2" s="1"/>
  <c r="P17" i="2" s="1"/>
  <c r="AP27" i="2"/>
  <c r="AQ27" i="2" s="1"/>
  <c r="M17" i="2" s="1"/>
  <c r="AV26" i="2"/>
  <c r="AW26" i="2" s="1"/>
  <c r="P16" i="2" s="1"/>
  <c r="AP26" i="2"/>
  <c r="AQ26" i="2" s="1"/>
  <c r="M16" i="2" s="1"/>
  <c r="AV25" i="2"/>
  <c r="AW25" i="2" s="1"/>
  <c r="P15" i="2" s="1"/>
  <c r="G29" i="11" s="1"/>
  <c r="AP25" i="2"/>
  <c r="AQ25" i="2" s="1"/>
  <c r="M15" i="2" s="1"/>
  <c r="G28" i="11" s="1"/>
  <c r="AD24" i="2"/>
  <c r="Z24" i="2"/>
  <c r="AD23" i="2"/>
  <c r="Z23" i="2"/>
  <c r="AS22" i="2"/>
  <c r="AM22" i="2"/>
  <c r="AD22" i="2"/>
  <c r="Z22" i="2"/>
  <c r="AD21" i="2"/>
  <c r="Z21" i="2"/>
  <c r="AD20" i="2"/>
  <c r="Z20" i="2"/>
  <c r="AV19" i="2"/>
  <c r="AW19" i="2" s="1"/>
  <c r="J24" i="2" s="1"/>
  <c r="AP19" i="2"/>
  <c r="AQ19" i="2" s="1"/>
  <c r="G24" i="2" s="1"/>
  <c r="AD19" i="2"/>
  <c r="Z19" i="2"/>
  <c r="AV18" i="2"/>
  <c r="AW18" i="2" s="1"/>
  <c r="J23" i="2" s="1"/>
  <c r="AP18" i="2"/>
  <c r="AQ18" i="2" s="1"/>
  <c r="G23" i="2" s="1"/>
  <c r="AD18" i="2"/>
  <c r="Z18" i="2"/>
  <c r="AV17" i="2"/>
  <c r="AW17" i="2" s="1"/>
  <c r="J22" i="2" s="1"/>
  <c r="AP17" i="2"/>
  <c r="AQ17" i="2" s="1"/>
  <c r="G22" i="2" s="1"/>
  <c r="AD17" i="2"/>
  <c r="Z17" i="2"/>
  <c r="AV16" i="2"/>
  <c r="AW16" i="2" s="1"/>
  <c r="J21" i="2" s="1"/>
  <c r="AP16" i="2"/>
  <c r="AQ16" i="2" s="1"/>
  <c r="G21" i="2" s="1"/>
  <c r="AD16" i="2"/>
  <c r="Z16" i="2"/>
  <c r="AV15" i="2"/>
  <c r="AW15" i="2" s="1"/>
  <c r="J20" i="2" s="1"/>
  <c r="AP15" i="2"/>
  <c r="AQ15" i="2" s="1"/>
  <c r="G20" i="2" s="1"/>
  <c r="AD15" i="2"/>
  <c r="Z15" i="2"/>
  <c r="AV14" i="2"/>
  <c r="AW14" i="2" s="1"/>
  <c r="J19" i="2" s="1"/>
  <c r="AP14" i="2"/>
  <c r="AQ14" i="2" s="1"/>
  <c r="G19" i="2" s="1"/>
  <c r="AV13" i="2"/>
  <c r="AW13" i="2" s="1"/>
  <c r="J18" i="2" s="1"/>
  <c r="AP13" i="2"/>
  <c r="AQ13" i="2" s="1"/>
  <c r="G18" i="2" s="1"/>
  <c r="S13" i="2"/>
  <c r="P13" i="2"/>
  <c r="M13" i="2"/>
  <c r="J13" i="2"/>
  <c r="G13" i="2"/>
  <c r="AV12" i="2"/>
  <c r="AW12" i="2" s="1"/>
  <c r="J17" i="2" s="1"/>
  <c r="AP12" i="2"/>
  <c r="AQ12" i="2" s="1"/>
  <c r="G17" i="2" s="1"/>
  <c r="AV11" i="2"/>
  <c r="AW11" i="2" s="1"/>
  <c r="J16" i="2" s="1"/>
  <c r="AP11" i="2"/>
  <c r="AQ11" i="2" s="1"/>
  <c r="G16" i="2" s="1"/>
  <c r="AV10" i="2"/>
  <c r="AW10" i="2" s="1"/>
  <c r="J15" i="2" s="1"/>
  <c r="G27" i="11" s="1"/>
  <c r="AP10" i="2"/>
  <c r="AQ10" i="2" s="1"/>
  <c r="G15" i="2" s="1"/>
  <c r="AS7" i="2"/>
  <c r="AM7" i="2"/>
  <c r="AX23" i="7" l="1"/>
  <c r="AI19" i="2"/>
  <c r="V19" i="2" s="1"/>
  <c r="O27" i="11"/>
  <c r="P27" i="11"/>
  <c r="S27" i="11"/>
  <c r="T27" i="11"/>
  <c r="X27" i="11"/>
  <c r="W27" i="11"/>
  <c r="R29" i="11"/>
  <c r="Q29" i="11"/>
  <c r="Z29" i="11"/>
  <c r="Y29" i="11"/>
  <c r="T30" i="11"/>
  <c r="S30" i="11"/>
  <c r="N26" i="11"/>
  <c r="M26" i="11"/>
  <c r="AI18" i="2"/>
  <c r="V18" i="2" s="1"/>
  <c r="L28" i="11"/>
  <c r="K28" i="11"/>
  <c r="S28" i="11"/>
  <c r="T28" i="11"/>
  <c r="N30" i="11"/>
  <c r="M30" i="11"/>
  <c r="G26" i="11"/>
  <c r="AI15" i="2"/>
  <c r="V15" i="2" s="1"/>
  <c r="G31" i="11" s="1"/>
  <c r="L26" i="11"/>
  <c r="K26" i="11"/>
  <c r="AI17" i="2"/>
  <c r="V17" i="2" s="1"/>
  <c r="N27" i="11"/>
  <c r="M27" i="11"/>
  <c r="K29" i="11"/>
  <c r="L29" i="11"/>
  <c r="P29" i="11"/>
  <c r="O29" i="11"/>
  <c r="T29" i="11"/>
  <c r="S29" i="11"/>
  <c r="X29" i="11"/>
  <c r="W29" i="11"/>
  <c r="O30" i="11"/>
  <c r="P30" i="11"/>
  <c r="W30" i="11"/>
  <c r="X30" i="11"/>
  <c r="I26" i="11"/>
  <c r="AI16" i="2"/>
  <c r="V16" i="2" s="1"/>
  <c r="J26" i="11"/>
  <c r="Q27" i="11"/>
  <c r="R27" i="11"/>
  <c r="V27" i="11"/>
  <c r="U27" i="11"/>
  <c r="Z27" i="11"/>
  <c r="Y27" i="11"/>
  <c r="I29" i="11"/>
  <c r="J29" i="11"/>
  <c r="N29" i="11"/>
  <c r="M29" i="11"/>
  <c r="V29" i="11"/>
  <c r="U29" i="11"/>
  <c r="L30" i="11"/>
  <c r="K30" i="11"/>
  <c r="I27" i="11"/>
  <c r="J27" i="11"/>
  <c r="O28" i="11"/>
  <c r="P28" i="11"/>
  <c r="W28" i="11"/>
  <c r="X28" i="11"/>
  <c r="U30" i="11"/>
  <c r="V30" i="11"/>
  <c r="L27" i="11"/>
  <c r="K27" i="11"/>
  <c r="O26" i="11"/>
  <c r="P26" i="11"/>
  <c r="R26" i="11"/>
  <c r="Q26" i="11"/>
  <c r="AI20" i="2"/>
  <c r="AI21" i="2"/>
  <c r="V21" i="2" s="1"/>
  <c r="S26" i="11"/>
  <c r="T26" i="11"/>
  <c r="AI22" i="2"/>
  <c r="V22" i="2" s="1"/>
  <c r="V26" i="11"/>
  <c r="U26" i="11"/>
  <c r="X26" i="11"/>
  <c r="W26" i="11"/>
  <c r="AI23" i="2"/>
  <c r="V23" i="2" s="1"/>
  <c r="Z26" i="11"/>
  <c r="AI24" i="2"/>
  <c r="Y26" i="11"/>
  <c r="I28" i="11"/>
  <c r="J28" i="11"/>
  <c r="N28" i="11"/>
  <c r="M28" i="11"/>
  <c r="R28" i="11"/>
  <c r="Q28" i="11"/>
  <c r="V28" i="11"/>
  <c r="U28" i="11"/>
  <c r="Z28" i="11"/>
  <c r="Y28" i="11"/>
  <c r="I30" i="11"/>
  <c r="J30" i="11"/>
  <c r="R30" i="11"/>
  <c r="Q30" i="11"/>
  <c r="Z30" i="11"/>
  <c r="Y30" i="11"/>
  <c r="G11" i="3"/>
  <c r="V24" i="2" l="1"/>
  <c r="Y31" i="11" s="1"/>
  <c r="AL46" i="7"/>
  <c r="V20" i="2"/>
  <c r="Q31" i="11" s="1"/>
  <c r="AL44" i="7"/>
  <c r="AL45" i="7"/>
  <c r="N31" i="11"/>
  <c r="M31" i="11"/>
  <c r="I31" i="11"/>
  <c r="J31" i="11"/>
  <c r="H31" i="11"/>
  <c r="X31" i="11"/>
  <c r="W31" i="11"/>
  <c r="T31" i="11"/>
  <c r="S31" i="11"/>
  <c r="K31" i="11"/>
  <c r="L31" i="11"/>
  <c r="V31" i="11"/>
  <c r="U31" i="11"/>
  <c r="P31" i="11"/>
  <c r="O31" i="11"/>
  <c r="F24" i="1"/>
  <c r="F22" i="1"/>
  <c r="F20" i="1"/>
  <c r="F18" i="1"/>
  <c r="F16" i="1"/>
  <c r="F14" i="1"/>
  <c r="AN30" i="7" l="1"/>
  <c r="AN29" i="7"/>
  <c r="AX13" i="7"/>
  <c r="AN23" i="7"/>
  <c r="AX20" i="7"/>
  <c r="AN22" i="7"/>
  <c r="AN15" i="7"/>
  <c r="Z31" i="11"/>
  <c r="R31" i="11"/>
  <c r="J37" i="7"/>
  <c r="M39" i="11" s="1"/>
  <c r="AE34" i="7"/>
  <c r="AD14" i="7"/>
  <c r="AD16" i="7"/>
  <c r="AF16" i="7" s="1"/>
  <c r="AD30" i="7"/>
  <c r="AD28" i="7"/>
  <c r="AF28" i="7" s="1"/>
  <c r="AD29" i="7"/>
  <c r="AF29" i="7" s="1"/>
  <c r="AD27" i="7"/>
  <c r="AF27" i="7" s="1"/>
  <c r="AD26" i="7"/>
  <c r="AF26" i="7" s="1"/>
  <c r="AD20" i="7"/>
  <c r="AD25" i="7"/>
  <c r="AF25" i="7" s="1"/>
  <c r="AD23" i="7"/>
  <c r="AD22" i="7"/>
  <c r="AD31" i="7"/>
  <c r="AD21" i="7"/>
  <c r="AD24" i="7"/>
  <c r="AD15" i="7"/>
  <c r="AF15" i="7" s="1"/>
  <c r="AD18" i="7"/>
  <c r="AF18" i="7" s="1"/>
  <c r="AD19" i="7"/>
  <c r="AF19" i="7" s="1"/>
  <c r="AD17" i="7"/>
  <c r="AF17" i="7" s="1"/>
  <c r="D10" i="9"/>
  <c r="R10" i="9"/>
  <c r="N34" i="9"/>
  <c r="H34" i="9"/>
  <c r="T33" i="9"/>
  <c r="N33" i="9"/>
  <c r="H33" i="9"/>
  <c r="T32" i="9"/>
  <c r="N32" i="9"/>
  <c r="H32" i="9"/>
  <c r="T31" i="9"/>
  <c r="N31" i="9"/>
  <c r="H31" i="9"/>
  <c r="T30" i="9"/>
  <c r="N30" i="9"/>
  <c r="H30" i="9"/>
  <c r="U29" i="9"/>
  <c r="R29" i="9"/>
  <c r="Q29" i="9"/>
  <c r="P29" i="9"/>
  <c r="O29" i="9"/>
  <c r="U28" i="9"/>
  <c r="R28" i="9"/>
  <c r="Q28" i="9"/>
  <c r="P28" i="9"/>
  <c r="O28" i="9"/>
  <c r="A28" i="9"/>
  <c r="C27" i="9"/>
  <c r="B27" i="9"/>
  <c r="C25" i="9"/>
  <c r="B25" i="9"/>
  <c r="C24" i="9"/>
  <c r="B24" i="9"/>
  <c r="C23" i="9"/>
  <c r="C26" i="9" s="1"/>
  <c r="B23" i="9"/>
  <c r="B26" i="9" s="1"/>
  <c r="C21" i="9"/>
  <c r="B21" i="9"/>
  <c r="C20" i="9"/>
  <c r="B20" i="9"/>
  <c r="C19" i="9"/>
  <c r="C22" i="9" s="1"/>
  <c r="B19" i="9"/>
  <c r="B22" i="9" s="1"/>
  <c r="C17" i="9"/>
  <c r="B17" i="9"/>
  <c r="C16" i="9"/>
  <c r="B16" i="9"/>
  <c r="C15" i="9"/>
  <c r="C18" i="9" s="1"/>
  <c r="B15" i="9"/>
  <c r="B18" i="9" s="1"/>
  <c r="C13" i="9"/>
  <c r="B13" i="9"/>
  <c r="C12" i="9"/>
  <c r="B12" i="9"/>
  <c r="C11" i="9"/>
  <c r="C14" i="9" s="1"/>
  <c r="B11" i="9"/>
  <c r="B14" i="9" s="1"/>
  <c r="C9" i="9"/>
  <c r="B9" i="9"/>
  <c r="C8" i="9"/>
  <c r="B8" i="9"/>
  <c r="C7" i="9"/>
  <c r="C10" i="9" s="1"/>
  <c r="B7" i="9"/>
  <c r="B10" i="9" s="1"/>
  <c r="S4" i="9"/>
  <c r="J4" i="9"/>
  <c r="S3" i="9"/>
  <c r="J3" i="9"/>
  <c r="S2" i="9"/>
  <c r="J2" i="9"/>
  <c r="M43" i="7" l="1"/>
  <c r="J43" i="7"/>
  <c r="N7" i="9"/>
  <c r="H7" i="9"/>
  <c r="T7" i="9" s="1"/>
  <c r="U7" i="9" s="1"/>
  <c r="L7" i="9"/>
  <c r="M7" i="9"/>
  <c r="M10" i="9" s="1"/>
  <c r="H8" i="9"/>
  <c r="L8" i="9"/>
  <c r="M8" i="9" s="1"/>
  <c r="H9" i="9"/>
  <c r="L9" i="9"/>
  <c r="M9" i="9" s="1"/>
  <c r="N11" i="9"/>
  <c r="H11" i="9"/>
  <c r="L11" i="9"/>
  <c r="M11" i="9" s="1"/>
  <c r="H12" i="9"/>
  <c r="L12" i="9"/>
  <c r="M12" i="9" s="1"/>
  <c r="H13" i="9"/>
  <c r="T13" i="9" s="1"/>
  <c r="U13" i="9" s="1"/>
  <c r="L13" i="9"/>
  <c r="M13" i="9" s="1"/>
  <c r="D14" i="9"/>
  <c r="R14" i="9"/>
  <c r="H15" i="9"/>
  <c r="L15" i="9"/>
  <c r="M15" i="9"/>
  <c r="M18" i="9" s="1"/>
  <c r="P15" i="9" s="1"/>
  <c r="H16" i="9"/>
  <c r="T16" i="9" s="1"/>
  <c r="U16" i="9" s="1"/>
  <c r="L16" i="9"/>
  <c r="M16" i="9"/>
  <c r="H17" i="9"/>
  <c r="T17" i="9" s="1"/>
  <c r="U17" i="9" s="1"/>
  <c r="L17" i="9"/>
  <c r="M17" i="9"/>
  <c r="D18" i="9"/>
  <c r="R18" i="9"/>
  <c r="H19" i="9"/>
  <c r="T19" i="9" s="1"/>
  <c r="U19" i="9" s="1"/>
  <c r="L19" i="9"/>
  <c r="M19" i="9"/>
  <c r="M22" i="9" s="1"/>
  <c r="H20" i="9"/>
  <c r="T20" i="9" s="1"/>
  <c r="U20" i="9" s="1"/>
  <c r="L20" i="9"/>
  <c r="M20" i="9"/>
  <c r="H21" i="9"/>
  <c r="L21" i="9"/>
  <c r="M21" i="9"/>
  <c r="D22" i="9"/>
  <c r="R22" i="9"/>
  <c r="H23" i="9"/>
  <c r="T23" i="9" s="1"/>
  <c r="U23" i="9" s="1"/>
  <c r="L23" i="9"/>
  <c r="M23" i="9"/>
  <c r="M26" i="9" s="1"/>
  <c r="H24" i="9"/>
  <c r="L24" i="9"/>
  <c r="M24" i="9"/>
  <c r="H25" i="9"/>
  <c r="L25" i="9"/>
  <c r="M25" i="9"/>
  <c r="D26" i="9"/>
  <c r="R26" i="9"/>
  <c r="Y39" i="11" l="1"/>
  <c r="D27" i="9"/>
  <c r="R27" i="9"/>
  <c r="T21" i="9"/>
  <c r="U21" i="9" s="1"/>
  <c r="U22" i="9" s="1"/>
  <c r="T11" i="9"/>
  <c r="U11" i="9" s="1"/>
  <c r="T9" i="9"/>
  <c r="U9" i="9" s="1"/>
  <c r="T25" i="9"/>
  <c r="U25" i="9" s="1"/>
  <c r="T15" i="9"/>
  <c r="U15" i="9" s="1"/>
  <c r="U18" i="9" s="1"/>
  <c r="T12" i="9"/>
  <c r="U12" i="9" s="1"/>
  <c r="T8" i="9"/>
  <c r="U8" i="9" s="1"/>
  <c r="T24" i="9"/>
  <c r="U24" i="9" s="1"/>
  <c r="U26" i="9" s="1"/>
  <c r="M14" i="9"/>
  <c r="P11" i="9" s="1"/>
  <c r="N23" i="9"/>
  <c r="O23" i="9" s="1"/>
  <c r="N19" i="9"/>
  <c r="O19" i="9" s="1"/>
  <c r="P23" i="9"/>
  <c r="P19" i="9"/>
  <c r="N15" i="9"/>
  <c r="O15" i="9" s="1"/>
  <c r="Q15" i="9" s="1"/>
  <c r="O7" i="9"/>
  <c r="U10" i="9" l="1"/>
  <c r="U14" i="9"/>
  <c r="N27" i="9"/>
  <c r="Q19" i="9"/>
  <c r="Q23" i="9"/>
  <c r="O11" i="9"/>
  <c r="Q11" i="9" s="1"/>
  <c r="M27" i="9"/>
  <c r="P7" i="9"/>
  <c r="U27" i="9" l="1"/>
  <c r="O27" i="9"/>
  <c r="P27" i="9"/>
  <c r="Q7" i="9"/>
  <c r="Q27" i="9" s="1"/>
  <c r="O45" i="7" l="1"/>
  <c r="AF45" i="7"/>
  <c r="AC45" i="7"/>
  <c r="AF47" i="7" l="1"/>
  <c r="AC47" i="7"/>
  <c r="AF46" i="7"/>
  <c r="AC46" i="7"/>
  <c r="O46" i="7" l="1"/>
  <c r="Y31" i="5" l="1"/>
  <c r="S41" i="7" l="1"/>
  <c r="S40" i="7"/>
  <c r="AC48" i="7" l="1"/>
  <c r="AL47" i="7" l="1"/>
  <c r="AL49" i="7" s="1"/>
  <c r="AL50" i="7" s="1"/>
  <c r="AL48" i="7"/>
  <c r="AY47" i="7"/>
  <c r="AY48" i="7"/>
  <c r="BA48" i="7" s="1"/>
  <c r="O49" i="7"/>
  <c r="O48" i="7"/>
  <c r="O47" i="7"/>
  <c r="BH13" i="7" l="1"/>
  <c r="BH23" i="7"/>
  <c r="BH20" i="7"/>
  <c r="BC24" i="7"/>
  <c r="AX24" i="7"/>
  <c r="BH22" i="7"/>
  <c r="AN24" i="7"/>
  <c r="AN17" i="7"/>
  <c r="BH14" i="7"/>
  <c r="BH15" i="7"/>
  <c r="AX17" i="7"/>
  <c r="BH27" i="7"/>
  <c r="BH30" i="7"/>
  <c r="BC31" i="7"/>
  <c r="BH29" i="7"/>
  <c r="AX31" i="7"/>
  <c r="AN31" i="7"/>
  <c r="BA44" i="7"/>
  <c r="AN44" i="7"/>
  <c r="BA45" i="7"/>
  <c r="BA46" i="7"/>
  <c r="BA47" i="7"/>
  <c r="AN46" i="7"/>
  <c r="M40" i="7"/>
  <c r="J38" i="7"/>
  <c r="M38" i="7"/>
  <c r="M39" i="7" s="1"/>
  <c r="O39" i="11" l="1"/>
  <c r="J39" i="7"/>
  <c r="Q39" i="11" s="1"/>
  <c r="M41" i="7"/>
  <c r="Y28" i="5"/>
  <c r="Y29" i="5"/>
  <c r="Y30" i="5"/>
  <c r="Y17" i="5"/>
  <c r="Y18" i="5"/>
  <c r="Y19" i="5"/>
  <c r="Y20" i="5"/>
  <c r="Y21" i="5"/>
  <c r="Y22" i="5"/>
  <c r="Y23" i="5"/>
  <c r="Y24" i="5"/>
  <c r="Y25" i="5"/>
  <c r="Y26" i="5"/>
  <c r="Y27" i="5"/>
  <c r="B169" i="8" l="1"/>
  <c r="B68" i="8"/>
  <c r="B34" i="8"/>
  <c r="A71" i="4"/>
  <c r="I23" i="4" s="1"/>
  <c r="AU46" i="7" s="1"/>
  <c r="BH28" i="7" s="1"/>
  <c r="O23" i="4"/>
  <c r="L23" i="4"/>
  <c r="A70" i="4"/>
  <c r="I22" i="4" s="1"/>
  <c r="O22" i="4"/>
  <c r="L22" i="4"/>
  <c r="A69" i="4"/>
  <c r="I21" i="4" s="1"/>
  <c r="O21" i="4"/>
  <c r="L21" i="4"/>
  <c r="A68" i="4"/>
  <c r="I20" i="4" s="1"/>
  <c r="O20" i="4"/>
  <c r="L20" i="4"/>
  <c r="A67" i="4"/>
  <c r="I19" i="4" s="1"/>
  <c r="AU44" i="7" s="1"/>
  <c r="O19" i="4"/>
  <c r="L19" i="4"/>
  <c r="A66" i="4"/>
  <c r="I18" i="4" s="1"/>
  <c r="O18" i="4"/>
  <c r="L18" i="4"/>
  <c r="A65" i="4"/>
  <c r="I17" i="4" s="1"/>
  <c r="O17" i="4"/>
  <c r="L17" i="4"/>
  <c r="A64" i="4"/>
  <c r="I16" i="4" s="1"/>
  <c r="O16" i="4"/>
  <c r="L16" i="4"/>
  <c r="A63" i="4"/>
  <c r="I15" i="4" s="1"/>
  <c r="O15" i="4"/>
  <c r="L15" i="4"/>
  <c r="A62" i="4"/>
  <c r="I14" i="4" s="1"/>
  <c r="O14" i="4"/>
  <c r="L14" i="4"/>
  <c r="AI23" i="3"/>
  <c r="Q23" i="3" s="1"/>
  <c r="Y23" i="3"/>
  <c r="U23" i="3"/>
  <c r="AI22" i="3"/>
  <c r="Q22" i="3" s="1"/>
  <c r="Y22" i="3"/>
  <c r="U22" i="3"/>
  <c r="AI21" i="3"/>
  <c r="Q21" i="3" s="1"/>
  <c r="Y21" i="3"/>
  <c r="U21" i="3"/>
  <c r="AI20" i="3"/>
  <c r="Q20" i="3" s="1"/>
  <c r="Y20" i="3"/>
  <c r="U20" i="3"/>
  <c r="AI19" i="3"/>
  <c r="Q19" i="3" s="1"/>
  <c r="Y19" i="3"/>
  <c r="U19" i="3"/>
  <c r="AI18" i="3"/>
  <c r="Q18" i="3" s="1"/>
  <c r="Y18" i="3"/>
  <c r="U18" i="3"/>
  <c r="AI17" i="3"/>
  <c r="Q17" i="3" s="1"/>
  <c r="Y17" i="3"/>
  <c r="U17" i="3"/>
  <c r="AI16" i="3"/>
  <c r="Q16" i="3" s="1"/>
  <c r="Y16" i="3"/>
  <c r="U16" i="3"/>
  <c r="AI15" i="3"/>
  <c r="Q15" i="3" s="1"/>
  <c r="Y15" i="3"/>
  <c r="U15" i="3"/>
  <c r="AI14" i="3"/>
  <c r="Q14" i="3" s="1"/>
  <c r="Y14" i="3"/>
  <c r="U14" i="3"/>
  <c r="BH44" i="7" l="1"/>
  <c r="AS16" i="7" s="1"/>
  <c r="AX14" i="7"/>
  <c r="BC28" i="7"/>
  <c r="BC27" i="7"/>
  <c r="BC15" i="7"/>
  <c r="AX28" i="7"/>
  <c r="AX27" i="7"/>
  <c r="AS31" i="7"/>
  <c r="AS29" i="7"/>
  <c r="AS27" i="7"/>
  <c r="AS30" i="7"/>
  <c r="AS17" i="7"/>
  <c r="AS13" i="7"/>
  <c r="AS15" i="7"/>
  <c r="AN28" i="7"/>
  <c r="AW46" i="7"/>
  <c r="AN14" i="7"/>
  <c r="AU45" i="7"/>
  <c r="BH21" i="7" s="1"/>
  <c r="J42" i="11"/>
  <c r="I41" i="11"/>
  <c r="J41" i="11"/>
  <c r="Z41" i="11"/>
  <c r="Y41" i="11"/>
  <c r="Z42" i="11"/>
  <c r="H41" i="11"/>
  <c r="G41" i="11"/>
  <c r="H42" i="11"/>
  <c r="O41" i="11"/>
  <c r="P42" i="11"/>
  <c r="P41" i="11"/>
  <c r="X42" i="11"/>
  <c r="W41" i="11"/>
  <c r="X41" i="11"/>
  <c r="N42" i="11"/>
  <c r="N41" i="11"/>
  <c r="M41" i="11"/>
  <c r="U41" i="11"/>
  <c r="V42" i="11"/>
  <c r="V41" i="11"/>
  <c r="L42" i="11"/>
  <c r="K41" i="11"/>
  <c r="L41" i="11"/>
  <c r="S41" i="11"/>
  <c r="T41" i="11"/>
  <c r="T42" i="11"/>
  <c r="N32" i="11"/>
  <c r="M32" i="11"/>
  <c r="V32" i="11"/>
  <c r="U32" i="11"/>
  <c r="K32" i="11"/>
  <c r="L32" i="11"/>
  <c r="T32" i="11"/>
  <c r="S32" i="11"/>
  <c r="J32" i="11"/>
  <c r="I32" i="11"/>
  <c r="R32" i="11"/>
  <c r="Q32" i="11"/>
  <c r="Y32" i="11"/>
  <c r="Z32" i="11"/>
  <c r="H32" i="11"/>
  <c r="G32" i="11"/>
  <c r="O32" i="11"/>
  <c r="P32" i="11"/>
  <c r="X32" i="11"/>
  <c r="W32" i="11"/>
  <c r="AE22" i="4"/>
  <c r="J35" i="7" s="1"/>
  <c r="J40" i="7" s="1"/>
  <c r="S39" i="11" s="1"/>
  <c r="AB31" i="5"/>
  <c r="AB30" i="5"/>
  <c r="AB17" i="5"/>
  <c r="AB26" i="5"/>
  <c r="AB20" i="5"/>
  <c r="AB29" i="5"/>
  <c r="AB21" i="5"/>
  <c r="AB23" i="5"/>
  <c r="AB22" i="5"/>
  <c r="AB24" i="5"/>
  <c r="AB27" i="5"/>
  <c r="AB16" i="5"/>
  <c r="AB28" i="5"/>
  <c r="AB25" i="5"/>
  <c r="AB19" i="5"/>
  <c r="AB18" i="5"/>
  <c r="BH48" i="7" l="1"/>
  <c r="BJ48" i="7" s="1"/>
  <c r="BH47" i="7"/>
  <c r="AN16" i="7"/>
  <c r="AX16" i="7"/>
  <c r="BC14" i="7"/>
  <c r="BC17" i="7"/>
  <c r="BC13" i="7"/>
  <c r="BH16" i="7"/>
  <c r="AU48" i="7"/>
  <c r="AW48" i="7" s="1"/>
  <c r="AY49" i="7" s="1"/>
  <c r="BA49" i="7" s="1"/>
  <c r="AU47" i="7"/>
  <c r="AW47" i="7" s="1"/>
  <c r="BC21" i="7"/>
  <c r="BC20" i="7"/>
  <c r="AX21" i="7"/>
  <c r="AS23" i="7"/>
  <c r="AS20" i="7"/>
  <c r="AS24" i="7"/>
  <c r="AS22" i="7"/>
  <c r="AN21" i="7"/>
  <c r="AW45" i="7"/>
  <c r="AW44" i="7"/>
  <c r="Q41" i="11"/>
  <c r="R41" i="11"/>
  <c r="R42" i="11"/>
  <c r="W60" i="11"/>
  <c r="W53" i="11"/>
  <c r="W50" i="11"/>
  <c r="W49" i="11"/>
  <c r="W55" i="11"/>
  <c r="W58" i="11"/>
  <c r="W56" i="11"/>
  <c r="W57" i="11"/>
  <c r="W61" i="11"/>
  <c r="W48" i="11"/>
  <c r="W52" i="11"/>
  <c r="W47" i="11"/>
  <c r="W59" i="11"/>
  <c r="W51" i="11"/>
  <c r="W54" i="11"/>
  <c r="W62" i="11"/>
  <c r="J41" i="7"/>
  <c r="U39" i="11" s="1"/>
  <c r="AB32" i="5"/>
  <c r="AU49" i="7" l="1"/>
  <c r="AU50" i="7" s="1"/>
  <c r="BH49" i="7"/>
  <c r="BH50" i="7" s="1"/>
  <c r="BJ50" i="7" s="1"/>
  <c r="BJ47" i="7"/>
  <c r="W63" i="11"/>
  <c r="BJ46" i="7"/>
  <c r="BJ45" i="7"/>
  <c r="BJ44" i="7"/>
  <c r="AN45" i="7"/>
  <c r="AN48" i="7"/>
  <c r="AN47" i="7"/>
  <c r="AW49" i="7" l="1"/>
  <c r="BJ49" i="7"/>
  <c r="AY50" i="7"/>
  <c r="BA50" i="7" s="1"/>
  <c r="AN49" i="7"/>
  <c r="AW50" i="7" l="1"/>
  <c r="AN50" i="7"/>
  <c r="AE24" i="4"/>
  <c r="AE30" i="5"/>
  <c r="Y61" i="11" l="1"/>
  <c r="AE26" i="5"/>
  <c r="AE29" i="5"/>
  <c r="AE27" i="5"/>
  <c r="AE19" i="5"/>
  <c r="AE24" i="5"/>
  <c r="AE17" i="5"/>
  <c r="AE25" i="5"/>
  <c r="AE18" i="5"/>
  <c r="AE31" i="5"/>
  <c r="AE23" i="5"/>
  <c r="AE21" i="5"/>
  <c r="AE28" i="5"/>
  <c r="AE20" i="5"/>
  <c r="AE16" i="5"/>
  <c r="AE22" i="5"/>
  <c r="Y62" i="11" l="1"/>
  <c r="Y58" i="11"/>
  <c r="Y60" i="11"/>
  <c r="Y47" i="11"/>
  <c r="Y57" i="11"/>
  <c r="Y53" i="11"/>
  <c r="Y48" i="11"/>
  <c r="Y52" i="11"/>
  <c r="Y55" i="11"/>
  <c r="Y50" i="11"/>
  <c r="Y54" i="11"/>
  <c r="Y51" i="11"/>
  <c r="Y49" i="11"/>
  <c r="Y56" i="11"/>
  <c r="Y59" i="11"/>
  <c r="AE32" i="5"/>
  <c r="Y63" i="11" l="1"/>
</calcChain>
</file>

<file path=xl/sharedStrings.xml><?xml version="1.0" encoding="utf-8"?>
<sst xmlns="http://schemas.openxmlformats.org/spreadsheetml/2006/main" count="848" uniqueCount="440">
  <si>
    <t>GENEL BİLGİLER</t>
  </si>
  <si>
    <t>ŞANTİYE İSMİ</t>
  </si>
  <si>
    <t>PROJE</t>
  </si>
  <si>
    <t>Keşan Ayrımı - Korudağı - Gelibolu Bölünmüş Yolu İşi</t>
  </si>
  <si>
    <t>DİZAYN AİT KAPLAMA CİNSİ</t>
  </si>
  <si>
    <t>İMZA SİRKÜLERİ</t>
  </si>
  <si>
    <t>YETKİ</t>
  </si>
  <si>
    <t>İSİM VE UNVAN</t>
  </si>
  <si>
    <t>ÖNİZLEME</t>
  </si>
  <si>
    <t>YÜKLENİCİ ARAŞTIRMA TEKNİSYENİ</t>
  </si>
  <si>
    <t>Lab. Teknisyeni</t>
  </si>
  <si>
    <t>YÜKLENİCİ ŞANTİYE ŞEFİ</t>
  </si>
  <si>
    <t>Şantiye Şefi</t>
  </si>
  <si>
    <t>MÜŞAVİR ARAŞTIRMA TEKNİSYENİ</t>
  </si>
  <si>
    <t>MÜŞAVİR KONTROL MÜHENDİSİ</t>
  </si>
  <si>
    <t xml:space="preserve">İDARE </t>
  </si>
  <si>
    <t>ELEKLER</t>
  </si>
  <si>
    <t>KTŞ LİMİTLERİ</t>
  </si>
  <si>
    <t>ÜST</t>
  </si>
  <si>
    <t>ALT</t>
  </si>
  <si>
    <t>1 1/2"</t>
  </si>
  <si>
    <t>1"</t>
  </si>
  <si>
    <t>3/4"</t>
  </si>
  <si>
    <t>1/2"</t>
  </si>
  <si>
    <t>3/8"</t>
  </si>
  <si>
    <t>No.4</t>
  </si>
  <si>
    <t>No.10</t>
  </si>
  <si>
    <t>No.40</t>
  </si>
  <si>
    <t>No.80</t>
  </si>
  <si>
    <t>No.200</t>
  </si>
  <si>
    <t>KULLANILAN ELEKLER</t>
  </si>
  <si>
    <t>5-12</t>
  </si>
  <si>
    <t>0-5</t>
  </si>
  <si>
    <t>Filler</t>
  </si>
  <si>
    <t>No.4 - 1/2"</t>
  </si>
  <si>
    <t>0 - No.4</t>
  </si>
  <si>
    <t>DİZAYN KRİTERLERİ</t>
  </si>
  <si>
    <t>K.T.Ş.</t>
  </si>
  <si>
    <t>DİZAYN</t>
  </si>
  <si>
    <t>İKF</t>
  </si>
  <si>
    <t>BİTÜM PENETRASYONU</t>
  </si>
  <si>
    <t>BİTÜM ÖZGÜL AĞIRLIĞI, Gb</t>
  </si>
  <si>
    <t>AGREGANIN BİTÜM ABSORBSİYONU Pba</t>
  </si>
  <si>
    <t>AGREGANIN HACİM ÖZG. AĞIRLIĞI, Gsb</t>
  </si>
  <si>
    <t>AGREGANIN ZAHİRİ ÖZG. AĞIRLIĞI, Gsa</t>
  </si>
  <si>
    <t>KABA AGREGA %'si   ( K % )</t>
  </si>
  <si>
    <t>İNCE AGREGA %'si   ( İ  % )</t>
  </si>
  <si>
    <t>FİLLER %'si   ( F % )</t>
  </si>
  <si>
    <t>KABA AG. SU. ABS: %</t>
  </si>
  <si>
    <t>AGREGANIN EFEKTİF ÖZG. AĞIRLIĞI, Gef-hesap</t>
  </si>
  <si>
    <t>AGREGANIN EFEKTİF ÖZG. AĞIRLIĞI, Gef-deney</t>
  </si>
  <si>
    <t>KABA AGREGA HACİM ÖZG. AĞ. ( Gkh )</t>
  </si>
  <si>
    <t>KABA AGREGA ZAHİRİ  ÖZG. AĞ. ( Gkz )</t>
  </si>
  <si>
    <t xml:space="preserve">İNCE AGREGA HACİM ÖZG. AĞ. ( Gih )          </t>
  </si>
  <si>
    <t xml:space="preserve">İNCE AGREGA ZAHİRİ ÖZG. AĞ. ( Giz )           </t>
  </si>
  <si>
    <t xml:space="preserve">FİLLER ZAHİRİ ÖZG. AĞ. ( Gf  )                           </t>
  </si>
  <si>
    <t xml:space="preserve">BİRİKETTEKİ AGREGA MİKTARI ( Kg )                </t>
  </si>
  <si>
    <t>AGREGA KAR.BİTÜM ORANI %'de ( Wb )</t>
  </si>
  <si>
    <t>Yoğunluk Ton/m³(Lab.Dp.)</t>
  </si>
  <si>
    <t>BOŞLUK</t>
  </si>
  <si>
    <t>VMA</t>
  </si>
  <si>
    <t>AKMA</t>
  </si>
  <si>
    <t>DÜZELTİLMİŞ STABİLİTE</t>
  </si>
  <si>
    <t>Lab.No</t>
  </si>
  <si>
    <t>Şantiye</t>
  </si>
  <si>
    <t>Tarih</t>
  </si>
  <si>
    <t>Km</t>
  </si>
  <si>
    <t>ELEK AÇIKLIĞI</t>
  </si>
  <si>
    <t>%'DE KARŞ. GRAD.</t>
  </si>
  <si>
    <t>TÖLERANS LİMİTLERİ</t>
  </si>
  <si>
    <t>KALAN (AĞIRLIK)</t>
  </si>
  <si>
    <t>% K.KALAN</t>
  </si>
  <si>
    <t>% GEÇEN</t>
  </si>
  <si>
    <t>mm</t>
  </si>
  <si>
    <t>inch</t>
  </si>
  <si>
    <t>Orjinal Ağırlık</t>
  </si>
  <si>
    <t>Proje</t>
  </si>
  <si>
    <t>Kümülatif Kalan</t>
  </si>
  <si>
    <t>Yüzde Geçen</t>
  </si>
  <si>
    <t>Tolerans
Limitleri</t>
  </si>
  <si>
    <t>KTŞ Limitleri</t>
  </si>
  <si>
    <t>Hesap</t>
  </si>
  <si>
    <t>Bitümlü numune+Filitre kağıdı (gr) (A)</t>
  </si>
  <si>
    <t>Filitre kağıdı  (gr) (B)</t>
  </si>
  <si>
    <t>Filitre kağıdı + yıkanmış agrega (gr) (C)</t>
  </si>
  <si>
    <t>Filler / Bitüm Oranı :</t>
  </si>
  <si>
    <t>ASFALT  BETONU ARAZİ  YOĞUNLUKLARI</t>
  </si>
  <si>
    <t>Suda</t>
  </si>
  <si>
    <t>DYK</t>
  </si>
  <si>
    <t>Sıkışma %</t>
  </si>
  <si>
    <t>Boşluk %</t>
  </si>
  <si>
    <t>GÜNLÜK BİTÜMLÜ SICAK KARIŞIM RAPORU</t>
  </si>
  <si>
    <t xml:space="preserve">Proje Adı </t>
  </si>
  <si>
    <t>Rapor No</t>
  </si>
  <si>
    <t>Rapor Tarihi</t>
  </si>
  <si>
    <t>:</t>
  </si>
  <si>
    <t xml:space="preserve">Kaplamanın Cinsi </t>
  </si>
  <si>
    <t>İmalat Tarihi</t>
  </si>
  <si>
    <t>Taşıma Yolu</t>
  </si>
  <si>
    <t>ASTAR</t>
  </si>
  <si>
    <t>YAPIŞTIRICI</t>
  </si>
  <si>
    <t>Cinsi</t>
  </si>
  <si>
    <t>CRS-1</t>
  </si>
  <si>
    <t>Sınıfı</t>
  </si>
  <si>
    <t>AÇ 50/70</t>
  </si>
  <si>
    <t>Özgül Ağırlığı (25ºC/25ºC)</t>
  </si>
  <si>
    <t xml:space="preserve">Miktarı lt/m2 </t>
  </si>
  <si>
    <t xml:space="preserve">Tespit Edilen </t>
  </si>
  <si>
    <t>Penetrasyon</t>
  </si>
  <si>
    <t>Dökülen</t>
  </si>
  <si>
    <t xml:space="preserve">Uygulama Sıcaklığı </t>
  </si>
  <si>
    <t>Özgül Ağırlığı (25 ºC/25 ºC)</t>
  </si>
  <si>
    <t>Kür Süresi</t>
  </si>
  <si>
    <t>TABLO 1</t>
  </si>
  <si>
    <t>İŞYERİ KARIŞIM FORMÜLÜ</t>
  </si>
  <si>
    <t>AGREGA</t>
  </si>
  <si>
    <t>MALZEME</t>
  </si>
  <si>
    <t>ORAN</t>
  </si>
  <si>
    <t>Gef-Hesap</t>
  </si>
  <si>
    <t>Kaba Agraga Öz.Ağ.</t>
  </si>
  <si>
    <t>İnce Agraga Öz.Ağ.</t>
  </si>
  <si>
    <t>Filler Öz. Ağ.</t>
  </si>
  <si>
    <t>Gsb</t>
  </si>
  <si>
    <t>Kaba ag.su abs.%</t>
  </si>
  <si>
    <t>TABLO 2</t>
  </si>
  <si>
    <t>GRADASYON</t>
  </si>
  <si>
    <t>SICAK SİLO</t>
  </si>
  <si>
    <t>%</t>
  </si>
  <si>
    <t>Harman</t>
  </si>
  <si>
    <t>Dizayn</t>
  </si>
  <si>
    <t>Malzeme Sıcaklığı ºC</t>
  </si>
  <si>
    <t>Saat</t>
  </si>
  <si>
    <t>Agrega</t>
  </si>
  <si>
    <t>Bitüm</t>
  </si>
  <si>
    <t>Karışım</t>
  </si>
  <si>
    <t>TABLO 4</t>
  </si>
  <si>
    <t>KARIŞIM NUMUNESİ</t>
  </si>
  <si>
    <t>Marshall Briketi</t>
  </si>
  <si>
    <t>Alındığı Saat</t>
  </si>
  <si>
    <t>Hava Sıcaklığı ºC</t>
  </si>
  <si>
    <t>Günlük Kaplama Uzunluğu (m)</t>
  </si>
  <si>
    <t>Günlük İmalat Ton</t>
  </si>
  <si>
    <t>Sabah</t>
  </si>
  <si>
    <t>Öğleden Sonra</t>
  </si>
  <si>
    <t>130-80</t>
  </si>
  <si>
    <t>Proje Kalınlığı (mm)</t>
  </si>
  <si>
    <t>Yoğunluk (Yol Dp.)</t>
  </si>
  <si>
    <t>MARSHALL DENEYİ</t>
  </si>
  <si>
    <t>ºC</t>
  </si>
  <si>
    <t>Biriket Yüksekliği (mm)</t>
  </si>
  <si>
    <t>VMA %</t>
  </si>
  <si>
    <t>ORT.</t>
  </si>
  <si>
    <t>Dt</t>
  </si>
  <si>
    <t>Agreganın Efektif Öz. Ağ. (Gef-hesap)</t>
  </si>
  <si>
    <t>Biriketteki Agrega Miktarı (kg)</t>
  </si>
  <si>
    <t>Agreganın Efektif Öz. Ağ. (Gef-deney)</t>
  </si>
  <si>
    <t>Darbe Sayısı</t>
  </si>
  <si>
    <t>Hacim (cm³) V</t>
  </si>
  <si>
    <t>Silindirin Cinsi ve Ağırlığı  9 - 18</t>
  </si>
  <si>
    <t>Ortalama</t>
  </si>
  <si>
    <t>Başlama - Bitiş Sıcaklığı ºC</t>
  </si>
  <si>
    <t>No</t>
  </si>
  <si>
    <t>Demir Bandajlı 12 ton, Lastikli 15 ton</t>
  </si>
  <si>
    <t>Elek (mm)</t>
  </si>
  <si>
    <t>Boşluk % Vh</t>
  </si>
  <si>
    <t>Akma (mm)</t>
  </si>
  <si>
    <t>Deney No</t>
  </si>
  <si>
    <t>Yoğunluk (Yol Dp)</t>
  </si>
  <si>
    <t>Numune Ağırlığı</t>
  </si>
  <si>
    <t>Asf. Dolu Boş. Vf</t>
  </si>
  <si>
    <t>Sıcaklığı ºC</t>
  </si>
  <si>
    <t>Pratik Yoğ. Dp</t>
  </si>
  <si>
    <t>Hac. Öz. Ağ. Dp</t>
  </si>
  <si>
    <t>Düz. Stab. (kg)</t>
  </si>
  <si>
    <t>Stab. (kg)</t>
  </si>
  <si>
    <t>Teorik Öz. Ağ. Dt</t>
  </si>
  <si>
    <t>Asfalt Dolu Boşluk % Vf</t>
  </si>
  <si>
    <t>Yoğunluk (Ton/m³) Lab.Dp.</t>
  </si>
  <si>
    <t>Stabilite (Marshall) (kg)</t>
  </si>
  <si>
    <t>Optimum Bitüm (%'e)</t>
  </si>
  <si>
    <t>TABLO 3</t>
  </si>
  <si>
    <t>SICAK SİLO ELEK ANALİZİ</t>
  </si>
  <si>
    <t>MEVCUT SATIH</t>
  </si>
  <si>
    <t>Km ve Şerit</t>
  </si>
  <si>
    <t>Bitümlü Temel</t>
  </si>
  <si>
    <t>1/2" - 1"</t>
  </si>
  <si>
    <t>12-25</t>
  </si>
  <si>
    <t>KTŞ</t>
  </si>
  <si>
    <t>Pratik Yoğunluk Dp</t>
  </si>
  <si>
    <t>Suda (gr) C</t>
  </si>
  <si>
    <t>Lab. Yoğ. Teo. (Dp):</t>
  </si>
  <si>
    <t>Keşan Şantiyesi</t>
  </si>
  <si>
    <t>: A / V</t>
  </si>
  <si>
    <t>V</t>
  </si>
  <si>
    <t>Dp</t>
  </si>
  <si>
    <t>Vh</t>
  </si>
  <si>
    <t>Vf</t>
  </si>
  <si>
    <t>Pba</t>
  </si>
  <si>
    <t>: 100 + Wa /  [(100/Gef) + (Wa/Gb)]</t>
  </si>
  <si>
    <t>Günlük Ortalamalar</t>
  </si>
  <si>
    <t>: C - B</t>
  </si>
  <si>
    <t>: [(Gef - Gsb) / (Gef * Gsb)] * 100 * Gb</t>
  </si>
  <si>
    <t>: 100 - [Dp* (100 - Wb)] / Gsb</t>
  </si>
  <si>
    <t>: [(VMA - Vh) / VMA] * 100</t>
  </si>
  <si>
    <t>: (Dt - Dp) / Dt *100</t>
  </si>
  <si>
    <t xml:space="preserve">Bitüm Özgül Ağırlığı </t>
  </si>
  <si>
    <t>(Gb)</t>
  </si>
  <si>
    <t xml:space="preserve">Agreganın Bitüm Absorbsiyonu </t>
  </si>
  <si>
    <t>(Pba)</t>
  </si>
  <si>
    <t xml:space="preserve">Kaba Agrega %'si </t>
  </si>
  <si>
    <t>(K %)</t>
  </si>
  <si>
    <t xml:space="preserve">İnce Agrega %'si </t>
  </si>
  <si>
    <t>(İ %)</t>
  </si>
  <si>
    <t xml:space="preserve">Filler %'si </t>
  </si>
  <si>
    <t>(F %)</t>
  </si>
  <si>
    <t>Filler Zahiri Öz.Ağ. (Gfz)</t>
  </si>
  <si>
    <t>Gsa</t>
  </si>
  <si>
    <t>Gef</t>
  </si>
  <si>
    <t>Fark</t>
  </si>
  <si>
    <t>Bitüm Penetrasyonu</t>
  </si>
  <si>
    <t>Agreganın Efektif Öz.Ağ. (Gef-h Gef-d)</t>
  </si>
  <si>
    <t>Kaba Ag. Hacim-Zahiri Özg.Ağ. (Gkh Gkz)</t>
  </si>
  <si>
    <t>İnce Ag. Hacim-Zahiri Özg.Ağ. (Gih Giz)</t>
  </si>
  <si>
    <t>: 100 / [(K% / Gkh)+(İ% / Gih)+(F% / Gfz)]</t>
  </si>
  <si>
    <t>Sıcak Silo</t>
  </si>
  <si>
    <t>Malaksör</t>
  </si>
  <si>
    <t>Ekstraksiyon</t>
  </si>
  <si>
    <t>-</t>
  </si>
  <si>
    <t>FARKLAR TABLOSU</t>
  </si>
  <si>
    <t>Maks.Teo.Öz. Ağırlık Dt</t>
  </si>
  <si>
    <t>Ks. Fakt.</t>
  </si>
  <si>
    <t>Düz. Stab.</t>
  </si>
  <si>
    <t>Düzeltilmiş Stabilite</t>
  </si>
  <si>
    <t>Kaba Ag.</t>
  </si>
  <si>
    <t>İnce Ag.</t>
  </si>
  <si>
    <t>SOL</t>
  </si>
  <si>
    <t>SAĞ</t>
  </si>
  <si>
    <t>Agreganın Hacim Özgül Ağırlığı (Gsb)</t>
  </si>
  <si>
    <t>( Kg )</t>
  </si>
  <si>
    <t>Agreganın Kar. Bitüm Oranı % (Wb)</t>
  </si>
  <si>
    <t xml:space="preserve">Filler Zahiri Öz.Ağ. ( Gf  )                     </t>
  </si>
  <si>
    <t>%'si   ( F % )</t>
  </si>
  <si>
    <t>Filler %'si (F %)</t>
  </si>
  <si>
    <t>Agreganın Bitüm Absorbsiyonu (Pba)</t>
  </si>
  <si>
    <t>İnce Agrega Hacim - Zahiri Özg.Ağ. ( Gih - Giz)</t>
  </si>
  <si>
    <t>%'si   ( İ  % )</t>
  </si>
  <si>
    <t>İnce Agrega %'si (İ %)</t>
  </si>
  <si>
    <t>Bitüm Özgül Ağırlığı (Gb)</t>
  </si>
  <si>
    <t>Kaba Agrega Hacim - Zahiri Özg.Ağ. ( Gkh - Gkz)</t>
  </si>
  <si>
    <t>%'si   ( K % )</t>
  </si>
  <si>
    <t>Kaba Agrega %'si (K %)</t>
  </si>
  <si>
    <t>Dizayn:</t>
  </si>
  <si>
    <t>KTŞ:</t>
  </si>
  <si>
    <t>G.ORT</t>
  </si>
  <si>
    <t>ORT</t>
  </si>
  <si>
    <t>Wb</t>
  </si>
  <si>
    <t>Wa</t>
  </si>
  <si>
    <t>Düz. Ks. Faktörü</t>
  </si>
  <si>
    <t>Maks. Teo. Öz. Ağ. Dt</t>
  </si>
  <si>
    <t>DYK Ağırlık (gr) B</t>
  </si>
  <si>
    <t>Suda Ağırlık (gr) C</t>
  </si>
  <si>
    <t>Havada Ağırlık (gr) A</t>
  </si>
  <si>
    <t>Kaplama Cinsi</t>
  </si>
  <si>
    <t xml:space="preserve">KGM Belgelerinden örnek alınarak Mehmet DURMAZ tarafından hazırlanmıştır. 
</t>
  </si>
  <si>
    <t>OCAK ADI:</t>
  </si>
  <si>
    <t>Ocak Adı</t>
  </si>
  <si>
    <t>Çeltik T.O.</t>
  </si>
  <si>
    <t>Proje Adı</t>
  </si>
  <si>
    <t>SICAK SİLO REÇETESİ</t>
  </si>
  <si>
    <t xml:space="preserve"> </t>
  </si>
  <si>
    <t>Orijinal Ağırlık</t>
  </si>
  <si>
    <t>Elek Açıklığı</t>
  </si>
  <si>
    <t>Rapor No/Tarih</t>
  </si>
  <si>
    <t xml:space="preserve">Kaplama Cinsi </t>
  </si>
  <si>
    <t>Projeye göre km</t>
  </si>
  <si>
    <t>Bitüm Miktarı (gr) D=A-C</t>
  </si>
  <si>
    <t>Ekstraksiyon Deney Sonuçları</t>
  </si>
  <si>
    <t>Bitümü alınmış agrega (gr)  E=C-B</t>
  </si>
  <si>
    <t>Havada (gr) A</t>
  </si>
  <si>
    <t>DYK (gr) B</t>
  </si>
  <si>
    <t>Şantiye Adı</t>
  </si>
  <si>
    <t>Mevcut SatIh Cinsi</t>
  </si>
  <si>
    <t>Sol Taşıma</t>
  </si>
  <si>
    <t>Projeye göre Km</t>
  </si>
  <si>
    <t>AÇIKLAMALAR:</t>
  </si>
  <si>
    <t>DENEY</t>
  </si>
  <si>
    <t>ŞARTNAME LİMİTLERİ</t>
  </si>
  <si>
    <t>B.TEMEL</t>
  </si>
  <si>
    <t>BİNDER</t>
  </si>
  <si>
    <t>AŞINMA T1-T2</t>
  </si>
  <si>
    <t>AŞINMA T3</t>
  </si>
  <si>
    <t>TMA BİNDER</t>
  </si>
  <si>
    <t>TMA AŞINMA</t>
  </si>
  <si>
    <t>MİN</t>
  </si>
  <si>
    <t>MAX</t>
  </si>
  <si>
    <t>KABA AGREGA</t>
  </si>
  <si>
    <t>Parçalanma Direnci (Los Angeles) % Kayıp</t>
  </si>
  <si>
    <t>≤ 30</t>
  </si>
  <si>
    <t>≤ 27</t>
  </si>
  <si>
    <t>≤ 25</t>
  </si>
  <si>
    <t>Aşınma Direnci % Kayıp</t>
  </si>
  <si>
    <t>≤ 20</t>
  </si>
  <si>
    <t>Hava Tesirine Karşı Dayanıklılık (MgSO4 ile)</t>
  </si>
  <si>
    <t>≤ 18</t>
  </si>
  <si>
    <t>≤ 16</t>
  </si>
  <si>
    <t>≤ 14</t>
  </si>
  <si>
    <t>Kırılmışlık, Ağırlıkça Tüm Yüzey Kırılmışlığı - Tüm Yüzey Yuvarlaklık</t>
  </si>
  <si>
    <t>≥ 95 - ≤ 0</t>
  </si>
  <si>
    <t>≥ 100 - ≤ 0</t>
  </si>
  <si>
    <t>Yasılık İndeksi</t>
  </si>
  <si>
    <t>Cilalanma Değeri, %</t>
  </si>
  <si>
    <t>≥ 35</t>
  </si>
  <si>
    <t>≥ 50</t>
  </si>
  <si>
    <t>Su Emme %</t>
  </si>
  <si>
    <t>≤ 2,500</t>
  </si>
  <si>
    <t>Soyulma Mukavemeti % Bitümle Kaplı Yüzey</t>
  </si>
  <si>
    <t>≥ 60</t>
  </si>
  <si>
    <t>Kil Topakları ve Ufalanabilir Tane %</t>
  </si>
  <si>
    <t>≤ 0,3</t>
  </si>
  <si>
    <t>Bulunmayacak</t>
  </si>
  <si>
    <t>İNCE AGREGA</t>
  </si>
  <si>
    <t>Plastisite İndeksi</t>
  </si>
  <si>
    <t>NP</t>
  </si>
  <si>
    <t>Organik Madde %3 NaOH ile</t>
  </si>
  <si>
    <t>Negatif</t>
  </si>
  <si>
    <t>Metilen Mavisi</t>
  </si>
  <si>
    <t>≤ 2,0 (kalker)
≤ 3,5 (mağmatik)</t>
  </si>
  <si>
    <t>≤ 1,5 (kalker)
≤ 3,0 (mağmatik)</t>
  </si>
  <si>
    <t>Briket Yapımında Uygulanacak Darbe Sayısı</t>
  </si>
  <si>
    <t>Marshal Stabilitesi</t>
  </si>
  <si>
    <t>Asfaltta Dolu Boşluk (VFA)</t>
  </si>
  <si>
    <t>Agregalar Arası Boşluk (VMA)</t>
  </si>
  <si>
    <t>Akma</t>
  </si>
  <si>
    <t>Filler / Bitüm Oranı</t>
  </si>
  <si>
    <t>Bitüm Ağırlıkça 100'e</t>
  </si>
  <si>
    <t>Indirekt Çekme Mukavemeti - İÇM</t>
  </si>
  <si>
    <t>Tekerlek İzinde Oturma (30.000 devirde, 60C) % maks</t>
  </si>
  <si>
    <t>Tekerlek İzinde Oturma (3.000 devirde, 60C, 5cm kalınlığında numune) % maks</t>
  </si>
  <si>
    <t>Elyaf Miktarı %</t>
  </si>
  <si>
    <t>Schellenberger Bitüm Süzülme Deneyi %</t>
  </si>
  <si>
    <t>KALİTE KONTROL</t>
  </si>
  <si>
    <t>Dizayn İçin Agrega Üretilmesi (Yaş Elek Analizi)</t>
  </si>
  <si>
    <t>Konkasörde Agrega Üretiminin Kontrolü (Yaş Elek Analizi)</t>
  </si>
  <si>
    <t>Min 500m3</t>
  </si>
  <si>
    <t>Min 400m3</t>
  </si>
  <si>
    <t>Sıcak Silo Gradasyonu (Yaş Elek Analizi)</t>
  </si>
  <si>
    <t>Min Günde Bir Kez</t>
  </si>
  <si>
    <t>Karışımın Fiziksel Özelliklerinin Kontrolü (Marshall Kriterleri)</t>
  </si>
  <si>
    <t>Min Günde İki Kez</t>
  </si>
  <si>
    <t>Segregasyon Tesbiti (Bitüm %'si ve Gradasyonu)</t>
  </si>
  <si>
    <t>Tabakanın Sıkışma ve Kalınlık Kontrölü (Karot Alımı ve Özgül Ağırlık Tayini)</t>
  </si>
  <si>
    <t>Her 500ton'da Bir Çift</t>
  </si>
  <si>
    <t>SATHİ KAPLAMA</t>
  </si>
  <si>
    <t>MAKADAM</t>
  </si>
  <si>
    <t>SEAL COAT</t>
  </si>
  <si>
    <t>Kırılmışlık, Ağırlıkça
Tüm Yüzey Kırılmışlığı - Tüm Yüzey Yuvarlaklık</t>
  </si>
  <si>
    <t>≥ 80 - ≤ 0</t>
  </si>
  <si>
    <t>≥ 70 - ≤ 0</t>
  </si>
  <si>
    <t>≥ 90 - ≤ 0</t>
  </si>
  <si>
    <t>≥ 40</t>
  </si>
  <si>
    <t>≤ 3,000</t>
  </si>
  <si>
    <t>Yapışma Deneti (Vialit) Düşen Mıcır %</t>
  </si>
  <si>
    <t>≤ 10</t>
  </si>
  <si>
    <t>≤ 0,5</t>
  </si>
  <si>
    <t>Kaba: 500m3 de bir, Orta:  300m3 de bir, İnce:  200m3 de bir</t>
  </si>
  <si>
    <t>Yolda Gradasyon Kontrolü (Yaş Elek Analizi)</t>
  </si>
  <si>
    <t>25.000 m2'de bir</t>
  </si>
  <si>
    <t>Distribütörde Bitüm Seriminin Enine Homojenliği Cv%</t>
  </si>
  <si>
    <t>≤ 10 25.000 m2'de bir</t>
  </si>
  <si>
    <t>Bitüm Miktarının Kontrölü %</t>
  </si>
  <si>
    <r>
      <t>±</t>
    </r>
    <r>
      <rPr>
        <sz val="11"/>
        <color theme="1"/>
        <rFont val="Calibri"/>
        <family val="2"/>
        <charset val="162"/>
      </rPr>
      <t>15 25.000 m2'de bir</t>
    </r>
  </si>
  <si>
    <t>Mıcır Sericide Agreganın Enine Homojenliği Cv%</t>
  </si>
  <si>
    <t>Agrega Miktarının Kontrölü %</t>
  </si>
  <si>
    <r>
      <t>±</t>
    </r>
    <r>
      <rPr>
        <sz val="11"/>
        <color theme="1"/>
        <rFont val="Calibri"/>
        <family val="2"/>
        <charset val="162"/>
      </rPr>
      <t>10 25.000 m2'de bir</t>
    </r>
  </si>
  <si>
    <t>PMT, BİTÜMLÜ TEMEL , BİNDER</t>
  </si>
  <si>
    <t>AGREGA KAR.BİTÜM ORANI %'e (Wa) :</t>
  </si>
  <si>
    <t>≤ 2,5</t>
  </si>
  <si>
    <t>≤ 2,0</t>
  </si>
  <si>
    <t>GRADASYON TİPİ</t>
  </si>
  <si>
    <t xml:space="preserve">Ag.lar Arası Boşluk VMA </t>
  </si>
  <si>
    <t>Asf. Dolu Boşluk VFA</t>
  </si>
  <si>
    <t>VFA</t>
  </si>
  <si>
    <t>Kaba ve Orta için 300m3
İnce için 100m3</t>
  </si>
  <si>
    <t>Kaba ve Orta için 200m3, İnce için 100m3</t>
  </si>
  <si>
    <t>AŞINMA T1</t>
  </si>
  <si>
    <t>ASFALT DOLU BOŞLUK VFA</t>
  </si>
  <si>
    <t>BİTÜMLÜ TEMEL</t>
  </si>
  <si>
    <t>TÖLERANS</t>
  </si>
  <si>
    <t>AŞINMA T2</t>
  </si>
  <si>
    <t>TMA AŞINMA TİP-1A</t>
  </si>
  <si>
    <t>TMA AŞINMA TİP-1B</t>
  </si>
  <si>
    <t>TMA AŞINMA TİP-2</t>
  </si>
  <si>
    <r>
      <rPr>
        <b/>
        <sz val="8"/>
        <color theme="1"/>
        <rFont val="Arial Tur"/>
        <charset val="162"/>
      </rPr>
      <t>± ...</t>
    </r>
    <r>
      <rPr>
        <b/>
        <sz val="8"/>
        <color theme="1"/>
        <rFont val="Arial"/>
        <family val="2"/>
        <charset val="162"/>
      </rPr>
      <t>%</t>
    </r>
  </si>
  <si>
    <t>BİTÜM</t>
  </si>
  <si>
    <t>BİTÜMLÜ TEMEL İÇİN: TİP-A ; TİP-B ; BİNDER İÇİN YOK, AŞINMA İÇİN T1 ; T2 ; T3; TMA BİNDER İÇİN YOK; TMA AŞINMA İÇİN TİP-1A ; TİP-1B ; TİP-2</t>
  </si>
  <si>
    <t>FORMÜL İÇİN</t>
  </si>
  <si>
    <t>min T1 5,8 ; T2 6,5</t>
  </si>
  <si>
    <t>min 5,2</t>
  </si>
  <si>
    <t>min 13</t>
  </si>
  <si>
    <t>min T1 16 ; T2 17</t>
  </si>
  <si>
    <t>BİTÜMLÜ TEMEL , BİNDER, AŞINMA, AŞINMA T3, TMA BİNDER, TMA AŞINMA</t>
  </si>
  <si>
    <t>DİĞER FORMLARIN İŞLEMESİ İÇİN AŞAĞIDAKİ BİR DEFALIĞINA BİLGİLERİ DOLDURUNUZ. DAHA SONRA FORMUN BİR ORJİNALINI  SAKLAYIP KOPYALARI İLE ÇALIŞINIZ. 
Sayfalarda yaptığını değişiklikler hesaplara yansımazsa sayfayı CTRL+S tuş kombinasyonu ile kaydedin, değişiklikler gözükecektir.</t>
  </si>
  <si>
    <t>KTŞ 2013 DEĞERLERİ</t>
  </si>
  <si>
    <t xml:space="preserve">%'e BİTÜM  F=D/E*100 </t>
  </si>
  <si>
    <t>%'de BİTÜM G= D/(A-B)*100</t>
  </si>
  <si>
    <t>KAROT</t>
  </si>
  <si>
    <t>KAPLAMA PROJE KALINLIĞI (mm)</t>
  </si>
  <si>
    <t>KAPLAMANIN GENİŞLİĞİ (m)</t>
  </si>
  <si>
    <t>Her 250ton'da Bir Çift</t>
  </si>
  <si>
    <t>Bit.Mik.
(%'e)</t>
  </si>
  <si>
    <t>Bit.Mik.
(% içi)</t>
  </si>
  <si>
    <t>h TOLERANS</t>
  </si>
  <si>
    <t>h</t>
  </si>
  <si>
    <t>Numuneler alım tarih:</t>
  </si>
  <si>
    <t>+0,1h</t>
  </si>
  <si>
    <t>-0,1h</t>
  </si>
  <si>
    <t>Karot Kalınlığı (mm)</t>
  </si>
  <si>
    <t>GÜNLÜK ORTALAMALAR</t>
  </si>
  <si>
    <t>Bitüm Miktarı %'e içi Wb</t>
  </si>
  <si>
    <t>Bitüm Miktarı %'e Wa</t>
  </si>
  <si>
    <t>Stabilite</t>
  </si>
  <si>
    <t xml:space="preserve">Ag. Hacim -Zagiri Öz. Ağırlığı (Gsb Gsa) </t>
  </si>
  <si>
    <t>Biriketteki Ag. Mik. (kg) - Darbe Sayısı</t>
  </si>
  <si>
    <t>: [(Gef - Gsb)/(Gef * Gsb)] *100*Gb</t>
  </si>
  <si>
    <t>: 100/[(K%/Gkh)+(İ%/Gih)+(F%/Gfz)]</t>
  </si>
  <si>
    <t>38,1mm
1 1/2"</t>
  </si>
  <si>
    <t>Binder</t>
  </si>
  <si>
    <t>3+960</t>
  </si>
  <si>
    <t>Lab.Yoğ (Lap Dp):</t>
  </si>
  <si>
    <t>Ekstraksiyon 1</t>
  </si>
  <si>
    <t>Ekstraksiyon 2</t>
  </si>
  <si>
    <t>Ekstrasyon 1</t>
  </si>
  <si>
    <t>Ekstrasyon 2</t>
  </si>
  <si>
    <t>Eks2</t>
  </si>
  <si>
    <t>IKF ise ara hesaplama:</t>
  </si>
  <si>
    <t>Sabah Yoğunluk</t>
  </si>
  <si>
    <t>Öğleden Sonra Yoğunluk</t>
  </si>
  <si>
    <t>2 ekstrasyon deneyi gerçekleştirildiyse</t>
  </si>
  <si>
    <t>1 ekstrasyon deneyi gerçekleştirildiyse</t>
  </si>
  <si>
    <t>3+300 - 4+000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</si>
</sst>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"/>
    <numFmt numFmtId="165" formatCode="0.000"/>
    <numFmt numFmtId="166" formatCode="###\+###"/>
    <numFmt numFmtId="167" formatCode="#,##0.000"/>
    <numFmt numFmtId="168" formatCode="hh:mm;@"/>
    <numFmt numFmtId="169" formatCode="0;\-0;;@"/>
    <numFmt numFmtId="170" formatCode="0.000;\-0.000;;@"/>
    <numFmt numFmtId="171" formatCode="0.0;\-0.0;;@"/>
    <numFmt numFmtId="172" formatCode="&quot;$&quot;#,##0\ ;\(&quot;$&quot;#,##0\)"/>
    <numFmt numFmtId="173" formatCode="0.00;\-0.00;;@"/>
    <numFmt numFmtId="174" formatCode="#,##0.0"/>
  </numFmts>
  <fonts count="47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sz val="8"/>
      <color rgb="FF000000"/>
      <name val="Arial"/>
      <family val="2"/>
      <charset val="162"/>
    </font>
    <font>
      <sz val="10"/>
      <color indexed="24"/>
      <name val="Arial"/>
      <family val="2"/>
      <charset val="162"/>
    </font>
    <font>
      <b/>
      <sz val="8"/>
      <color indexed="8"/>
      <name val="Arial"/>
      <family val="2"/>
      <charset val="162"/>
    </font>
    <font>
      <sz val="8"/>
      <color indexed="10"/>
      <name val="Arial"/>
      <family val="2"/>
      <charset val="162"/>
    </font>
    <font>
      <sz val="8"/>
      <name val="Arial"/>
      <family val="2"/>
      <charset val="162"/>
    </font>
    <font>
      <b/>
      <sz val="8"/>
      <name val="Arial"/>
      <family val="2"/>
      <charset val="162"/>
    </font>
    <font>
      <sz val="8"/>
      <color indexed="8"/>
      <name val="Arial"/>
      <family val="2"/>
      <charset val="162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b/>
      <sz val="10"/>
      <color indexed="12"/>
      <name val="Arial"/>
      <family val="2"/>
      <charset val="162"/>
    </font>
    <font>
      <sz val="10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indexed="10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name val="Arial"/>
      <family val="2"/>
      <charset val="162"/>
    </font>
    <font>
      <b/>
      <sz val="18"/>
      <color indexed="24"/>
      <name val="Arial"/>
      <family val="2"/>
      <charset val="162"/>
    </font>
    <font>
      <b/>
      <sz val="12"/>
      <color indexed="24"/>
      <name val="Arial"/>
      <family val="2"/>
      <charset val="162"/>
    </font>
    <font>
      <sz val="11"/>
      <color indexed="8"/>
      <name val="Calibri"/>
      <family val="2"/>
      <charset val="162"/>
    </font>
    <font>
      <sz val="10"/>
      <color theme="1"/>
      <name val="Calibri"/>
      <family val="2"/>
      <charset val="162"/>
      <scheme val="minor"/>
    </font>
    <font>
      <b/>
      <sz val="9"/>
      <color indexed="8"/>
      <name val="Arial"/>
      <family val="2"/>
      <charset val="162"/>
    </font>
    <font>
      <sz val="9"/>
      <color indexed="8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9"/>
      <name val="Arial"/>
      <family val="2"/>
    </font>
    <font>
      <sz val="9"/>
      <name val="Arial"/>
      <family val="2"/>
    </font>
    <font>
      <i/>
      <sz val="8"/>
      <color rgb="FFFF0000"/>
      <name val="Arial"/>
      <family val="2"/>
      <charset val="162"/>
    </font>
    <font>
      <sz val="9"/>
      <color theme="1"/>
      <name val="Arial"/>
      <family val="2"/>
      <charset val="162"/>
    </font>
    <font>
      <sz val="9"/>
      <color indexed="24"/>
      <name val="Arial"/>
      <family val="2"/>
      <charset val="162"/>
    </font>
    <font>
      <sz val="11"/>
      <color theme="1"/>
      <name val="Arial"/>
      <family val="2"/>
      <charset val="162"/>
    </font>
    <font>
      <b/>
      <sz val="18"/>
      <color theme="1"/>
      <name val="Arial"/>
      <family val="2"/>
      <charset val="162"/>
    </font>
    <font>
      <i/>
      <sz val="11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</font>
    <font>
      <b/>
      <sz val="11"/>
      <color rgb="FFFF0000"/>
      <name val="Calibri"/>
      <family val="2"/>
      <charset val="162"/>
      <scheme val="minor"/>
    </font>
    <font>
      <b/>
      <sz val="8"/>
      <color theme="1"/>
      <name val="Arial Tur"/>
      <charset val="162"/>
    </font>
    <font>
      <sz val="8"/>
      <name val="Arial"/>
      <family val="2"/>
    </font>
    <font>
      <i/>
      <sz val="8"/>
      <name val="Arial"/>
      <family val="2"/>
      <charset val="16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lightDown"/>
    </fill>
    <fill>
      <patternFill patternType="lightUp"/>
    </fill>
    <fill>
      <patternFill patternType="solid">
        <fgColor indexed="65"/>
        <bgColor indexed="64"/>
      </patternFill>
    </fill>
    <fill>
      <patternFill patternType="lightDown">
        <bgColor theme="0" tint="-4.9989318521683403E-2"/>
      </patternFill>
    </fill>
  </fills>
  <borders count="6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5" fillId="0" borderId="0"/>
    <xf numFmtId="0" fontId="12" fillId="0" borderId="0"/>
    <xf numFmtId="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9" fontId="23" fillId="0" borderId="0" applyFont="0" applyFill="0" applyBorder="0" applyAlignment="0" applyProtection="0"/>
    <xf numFmtId="0" fontId="41" fillId="0" borderId="0"/>
  </cellStyleXfs>
  <cellXfs count="1111">
    <xf numFmtId="0" fontId="0" fillId="0" borderId="0" xfId="0"/>
    <xf numFmtId="0" fontId="12" fillId="0" borderId="0" xfId="3" applyFont="1" applyBorder="1" applyAlignment="1" applyProtection="1">
      <alignment vertical="center"/>
    </xf>
    <xf numFmtId="0" fontId="11" fillId="0" borderId="0" xfId="3" applyFont="1" applyBorder="1" applyAlignment="1" applyProtection="1">
      <alignment horizontal="left" vertical="center"/>
    </xf>
    <xf numFmtId="0" fontId="12" fillId="0" borderId="0" xfId="4" applyFont="1" applyBorder="1" applyProtection="1"/>
    <xf numFmtId="0" fontId="16" fillId="0" borderId="0" xfId="0" applyFont="1" applyBorder="1" applyAlignment="1" applyProtection="1">
      <alignment vertical="center"/>
    </xf>
    <xf numFmtId="0" fontId="12" fillId="0" borderId="0" xfId="4" applyFont="1" applyProtection="1"/>
    <xf numFmtId="0" fontId="11" fillId="0" borderId="6" xfId="3" applyFont="1" applyBorder="1" applyAlignment="1" applyProtection="1">
      <alignment horizontal="left" vertical="center"/>
    </xf>
    <xf numFmtId="0" fontId="12" fillId="0" borderId="13" xfId="4" applyFont="1" applyBorder="1" applyProtection="1"/>
    <xf numFmtId="0" fontId="12" fillId="0" borderId="12" xfId="4" applyFont="1" applyBorder="1" applyProtection="1"/>
    <xf numFmtId="164" fontId="12" fillId="0" borderId="0" xfId="3" applyNumberFormat="1" applyFont="1" applyBorder="1" applyAlignment="1" applyProtection="1">
      <alignment horizontal="center" vertical="center"/>
    </xf>
    <xf numFmtId="0" fontId="16" fillId="0" borderId="0" xfId="0" applyFont="1" applyProtection="1"/>
    <xf numFmtId="0" fontId="16" fillId="0" borderId="0" xfId="0" applyFont="1" applyBorder="1" applyProtection="1"/>
    <xf numFmtId="0" fontId="16" fillId="0" borderId="1" xfId="0" applyFont="1" applyBorder="1" applyProtection="1"/>
    <xf numFmtId="0" fontId="16" fillId="0" borderId="10" xfId="0" applyFont="1" applyBorder="1" applyProtection="1"/>
    <xf numFmtId="0" fontId="11" fillId="0" borderId="1" xfId="3" applyFont="1" applyBorder="1" applyAlignment="1" applyProtection="1">
      <alignment horizontal="left" vertical="center"/>
    </xf>
    <xf numFmtId="0" fontId="14" fillId="0" borderId="0" xfId="0" applyFont="1" applyAlignment="1" applyProtection="1">
      <alignment wrapText="1"/>
    </xf>
    <xf numFmtId="0" fontId="14" fillId="0" borderId="0" xfId="0" applyFont="1" applyAlignment="1" applyProtection="1">
      <alignment vertical="center" wrapText="1"/>
    </xf>
    <xf numFmtId="0" fontId="14" fillId="0" borderId="0" xfId="0" applyFont="1" applyAlignment="1" applyProtection="1">
      <alignment vertical="center"/>
    </xf>
    <xf numFmtId="0" fontId="20" fillId="0" borderId="0" xfId="4" applyFont="1" applyAlignment="1" applyProtection="1">
      <alignment vertical="center"/>
    </xf>
    <xf numFmtId="0" fontId="20" fillId="0" borderId="0" xfId="4" applyFont="1" applyAlignment="1" applyProtection="1">
      <alignment vertical="center" wrapText="1"/>
    </xf>
    <xf numFmtId="0" fontId="18" fillId="0" borderId="4" xfId="4" applyFont="1" applyFill="1" applyBorder="1" applyAlignment="1" applyProtection="1">
      <alignment horizontal="center" vertical="center"/>
    </xf>
    <xf numFmtId="0" fontId="18" fillId="0" borderId="5" xfId="4" applyNumberFormat="1" applyFont="1" applyBorder="1" applyAlignment="1" applyProtection="1">
      <alignment horizontal="center" vertical="center"/>
    </xf>
    <xf numFmtId="49" fontId="18" fillId="0" borderId="5" xfId="4" applyNumberFormat="1" applyFont="1" applyBorder="1" applyAlignment="1" applyProtection="1">
      <alignment horizontal="center" vertical="center"/>
    </xf>
    <xf numFmtId="1" fontId="20" fillId="0" borderId="11" xfId="4" applyNumberFormat="1" applyFont="1" applyBorder="1" applyAlignment="1" applyProtection="1">
      <alignment horizontal="center" vertical="center"/>
      <protection locked="0"/>
    </xf>
    <xf numFmtId="0" fontId="20" fillId="0" borderId="5" xfId="4" applyFont="1" applyBorder="1" applyAlignment="1" applyProtection="1">
      <alignment horizontal="center" vertical="center"/>
      <protection locked="0"/>
    </xf>
    <xf numFmtId="0" fontId="16" fillId="0" borderId="7" xfId="0" applyFont="1" applyBorder="1" applyProtection="1"/>
    <xf numFmtId="0" fontId="16" fillId="0" borderId="6" xfId="0" applyFont="1" applyBorder="1" applyProtection="1"/>
    <xf numFmtId="0" fontId="16" fillId="0" borderId="9" xfId="0" applyFont="1" applyBorder="1" applyProtection="1"/>
    <xf numFmtId="49" fontId="14" fillId="0" borderId="6" xfId="0" applyNumberFormat="1" applyFont="1" applyBorder="1" applyAlignment="1" applyProtection="1">
      <alignment vertical="center"/>
    </xf>
    <xf numFmtId="0" fontId="20" fillId="0" borderId="33" xfId="4" applyFont="1" applyBorder="1" applyAlignment="1" applyProtection="1">
      <alignment horizontal="center" vertical="center"/>
      <protection locked="0"/>
    </xf>
    <xf numFmtId="0" fontId="20" fillId="0" borderId="8" xfId="4" applyFont="1" applyBorder="1" applyAlignment="1" applyProtection="1">
      <alignment vertical="center"/>
    </xf>
    <xf numFmtId="0" fontId="6" fillId="0" borderId="11" xfId="3" applyFont="1" applyBorder="1" applyAlignment="1" applyProtection="1">
      <alignment horizontal="center" vertical="center"/>
    </xf>
    <xf numFmtId="0" fontId="6" fillId="0" borderId="5" xfId="3" applyFont="1" applyBorder="1" applyAlignment="1" applyProtection="1">
      <alignment horizontal="center" vertical="center"/>
    </xf>
    <xf numFmtId="164" fontId="6" fillId="0" borderId="5" xfId="3" applyNumberFormat="1" applyFont="1" applyBorder="1" applyAlignment="1" applyProtection="1">
      <alignment horizontal="center" vertical="center"/>
    </xf>
    <xf numFmtId="0" fontId="12" fillId="0" borderId="0" xfId="4" applyFont="1" applyFill="1" applyBorder="1" applyProtection="1"/>
    <xf numFmtId="0" fontId="11" fillId="0" borderId="0" xfId="4" applyFont="1" applyFill="1" applyBorder="1" applyAlignment="1" applyProtection="1">
      <alignment horizontal="center" vertical="center"/>
    </xf>
    <xf numFmtId="0" fontId="12" fillId="0" borderId="13" xfId="4" applyFont="1" applyFill="1" applyBorder="1" applyAlignment="1" applyProtection="1">
      <alignment horizontal="center" vertical="center"/>
    </xf>
    <xf numFmtId="0" fontId="12" fillId="0" borderId="0" xfId="4" applyFont="1" applyFill="1" applyBorder="1" applyAlignment="1" applyProtection="1">
      <alignment horizontal="center" vertical="center"/>
    </xf>
    <xf numFmtId="12" fontId="11" fillId="0" borderId="13" xfId="4" applyNumberFormat="1" applyFont="1" applyFill="1" applyBorder="1" applyAlignment="1" applyProtection="1">
      <alignment horizontal="center" vertical="center"/>
    </xf>
    <xf numFmtId="0" fontId="11" fillId="0" borderId="13" xfId="4" applyFont="1" applyFill="1" applyBorder="1" applyAlignment="1" applyProtection="1">
      <alignment horizontal="center" vertical="center"/>
    </xf>
    <xf numFmtId="0" fontId="12" fillId="0" borderId="13" xfId="4" applyFont="1" applyFill="1" applyBorder="1" applyAlignment="1" applyProtection="1">
      <alignment wrapText="1"/>
    </xf>
    <xf numFmtId="0" fontId="12" fillId="0" borderId="13" xfId="4" applyFont="1" applyFill="1" applyBorder="1" applyProtection="1"/>
    <xf numFmtId="0" fontId="12" fillId="0" borderId="8" xfId="4" applyFont="1" applyFill="1" applyBorder="1" applyProtection="1"/>
    <xf numFmtId="0" fontId="12" fillId="0" borderId="12" xfId="4" applyFont="1" applyFill="1" applyBorder="1" applyProtection="1"/>
    <xf numFmtId="0" fontId="12" fillId="0" borderId="1" xfId="4" applyFont="1" applyFill="1" applyBorder="1" applyProtection="1"/>
    <xf numFmtId="0" fontId="12" fillId="0" borderId="10" xfId="4" applyFont="1" applyFill="1" applyBorder="1" applyProtection="1"/>
    <xf numFmtId="0" fontId="18" fillId="4" borderId="2" xfId="4" applyFont="1" applyFill="1" applyBorder="1" applyAlignment="1" applyProtection="1">
      <alignment vertical="center"/>
    </xf>
    <xf numFmtId="0" fontId="18" fillId="4" borderId="4" xfId="4" applyFont="1" applyFill="1" applyBorder="1" applyAlignment="1" applyProtection="1">
      <alignment vertical="center"/>
    </xf>
    <xf numFmtId="0" fontId="20" fillId="4" borderId="3" xfId="4" applyFont="1" applyFill="1" applyBorder="1" applyAlignment="1" applyProtection="1">
      <alignment vertical="center"/>
    </xf>
    <xf numFmtId="0" fontId="18" fillId="4" borderId="31" xfId="4" applyFont="1" applyFill="1" applyBorder="1" applyAlignment="1" applyProtection="1">
      <alignment horizontal="center" vertical="center" wrapText="1"/>
    </xf>
    <xf numFmtId="168" fontId="18" fillId="4" borderId="11" xfId="4" applyNumberFormat="1" applyFont="1" applyFill="1" applyBorder="1" applyAlignment="1" applyProtection="1">
      <alignment horizontal="center" vertical="center"/>
    </xf>
    <xf numFmtId="0" fontId="18" fillId="4" borderId="36" xfId="4" applyFont="1" applyFill="1" applyBorder="1" applyAlignment="1" applyProtection="1">
      <alignment horizontal="center" vertical="center"/>
    </xf>
    <xf numFmtId="49" fontId="18" fillId="0" borderId="33" xfId="4" applyNumberFormat="1" applyFont="1" applyBorder="1" applyAlignment="1" applyProtection="1">
      <alignment horizontal="center" vertical="center"/>
    </xf>
    <xf numFmtId="0" fontId="20" fillId="0" borderId="33" xfId="4" applyFont="1" applyBorder="1" applyAlignment="1" applyProtection="1">
      <alignment horizontal="center" vertical="center"/>
    </xf>
    <xf numFmtId="0" fontId="16" fillId="0" borderId="0" xfId="0" applyFont="1" applyAlignment="1" applyProtection="1">
      <alignment vertical="center"/>
    </xf>
    <xf numFmtId="0" fontId="24" fillId="0" borderId="0" xfId="0" applyFont="1" applyAlignment="1" applyProtection="1">
      <alignment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vertical="center"/>
    </xf>
    <xf numFmtId="164" fontId="14" fillId="0" borderId="5" xfId="0" applyNumberFormat="1" applyFont="1" applyFill="1" applyBorder="1" applyAlignment="1" applyProtection="1">
      <alignment horizontal="center" vertical="center"/>
    </xf>
    <xf numFmtId="165" fontId="14" fillId="0" borderId="5" xfId="0" applyNumberFormat="1" applyFont="1" applyFill="1" applyBorder="1" applyAlignment="1" applyProtection="1">
      <alignment horizontal="center" vertical="center"/>
    </xf>
    <xf numFmtId="1" fontId="14" fillId="0" borderId="5" xfId="0" applyNumberFormat="1" applyFont="1" applyFill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left" vertical="center"/>
    </xf>
    <xf numFmtId="0" fontId="16" fillId="0" borderId="0" xfId="0" applyFont="1" applyAlignment="1" applyProtection="1">
      <alignment horizontal="center" vertical="center"/>
    </xf>
    <xf numFmtId="0" fontId="16" fillId="0" borderId="10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left" vertical="center"/>
    </xf>
    <xf numFmtId="0" fontId="14" fillId="0" borderId="9" xfId="0" applyFont="1" applyBorder="1" applyAlignment="1" applyProtection="1">
      <alignment horizontal="left" vertical="center"/>
    </xf>
    <xf numFmtId="0" fontId="14" fillId="0" borderId="1" xfId="0" applyFont="1" applyBorder="1" applyAlignment="1" applyProtection="1">
      <alignment horizontal="left" vertical="center"/>
    </xf>
    <xf numFmtId="0" fontId="14" fillId="0" borderId="10" xfId="0" applyFont="1" applyBorder="1" applyAlignment="1" applyProtection="1">
      <alignment horizontal="left" vertical="center"/>
    </xf>
    <xf numFmtId="0" fontId="16" fillId="0" borderId="8" xfId="0" applyFont="1" applyBorder="1" applyAlignment="1" applyProtection="1">
      <alignment vertical="center"/>
    </xf>
    <xf numFmtId="2" fontId="14" fillId="0" borderId="5" xfId="0" applyNumberFormat="1" applyFont="1" applyFill="1" applyBorder="1" applyAlignment="1" applyProtection="1">
      <alignment horizontal="center" vertical="center"/>
    </xf>
    <xf numFmtId="0" fontId="32" fillId="0" borderId="16" xfId="0" applyFont="1" applyBorder="1" applyAlignment="1" applyProtection="1">
      <alignment horizontal="right" vertical="center"/>
    </xf>
    <xf numFmtId="0" fontId="6" fillId="4" borderId="5" xfId="0" applyFont="1" applyFill="1" applyBorder="1" applyAlignment="1" applyProtection="1">
      <alignment horizontal="center" vertical="center"/>
    </xf>
    <xf numFmtId="2" fontId="32" fillId="0" borderId="37" xfId="0" applyNumberFormat="1" applyFont="1" applyFill="1" applyBorder="1" applyAlignment="1" applyProtection="1">
      <alignment horizontal="right" vertical="center" wrapText="1"/>
    </xf>
    <xf numFmtId="0" fontId="32" fillId="0" borderId="23" xfId="0" applyFont="1" applyBorder="1" applyAlignment="1" applyProtection="1">
      <alignment horizontal="right" vertical="center"/>
    </xf>
    <xf numFmtId="0" fontId="20" fillId="2" borderId="8" xfId="4" applyFont="1" applyFill="1" applyBorder="1" applyAlignment="1" applyProtection="1">
      <alignment vertical="center"/>
    </xf>
    <xf numFmtId="0" fontId="20" fillId="2" borderId="1" xfId="4" applyFont="1" applyFill="1" applyBorder="1" applyAlignment="1" applyProtection="1">
      <alignment vertical="center"/>
    </xf>
    <xf numFmtId="0" fontId="20" fillId="2" borderId="10" xfId="4" applyFont="1" applyFill="1" applyBorder="1" applyAlignment="1" applyProtection="1">
      <alignment vertical="center"/>
    </xf>
    <xf numFmtId="0" fontId="20" fillId="2" borderId="8" xfId="4" applyFont="1" applyFill="1" applyBorder="1" applyAlignment="1" applyProtection="1">
      <alignment horizontal="center" vertical="center"/>
    </xf>
    <xf numFmtId="0" fontId="24" fillId="0" borderId="0" xfId="0" applyFont="1" applyProtection="1"/>
    <xf numFmtId="0" fontId="16" fillId="0" borderId="0" xfId="0" applyFont="1" applyAlignment="1" applyProtection="1">
      <alignment horizontal="center"/>
    </xf>
    <xf numFmtId="0" fontId="10" fillId="0" borderId="3" xfId="0" applyFont="1" applyFill="1" applyBorder="1" applyAlignment="1" applyProtection="1">
      <alignment vertical="center"/>
    </xf>
    <xf numFmtId="0" fontId="10" fillId="0" borderId="4" xfId="0" applyFont="1" applyFill="1" applyBorder="1" applyAlignment="1" applyProtection="1">
      <alignment vertical="center"/>
    </xf>
    <xf numFmtId="0" fontId="10" fillId="0" borderId="2" xfId="0" applyFont="1" applyFill="1" applyBorder="1" applyAlignment="1" applyProtection="1">
      <alignment vertical="center"/>
    </xf>
    <xf numFmtId="165" fontId="10" fillId="0" borderId="5" xfId="0" applyNumberFormat="1" applyFont="1" applyFill="1" applyBorder="1" applyAlignment="1" applyProtection="1">
      <alignment horizontal="left"/>
    </xf>
    <xf numFmtId="164" fontId="10" fillId="0" borderId="5" xfId="0" applyNumberFormat="1" applyFont="1" applyFill="1" applyBorder="1" applyAlignment="1" applyProtection="1">
      <alignment horizontal="left"/>
    </xf>
    <xf numFmtId="0" fontId="35" fillId="0" borderId="0" xfId="0" applyFont="1" applyProtection="1"/>
    <xf numFmtId="1" fontId="25" fillId="4" borderId="14" xfId="0" applyNumberFormat="1" applyFont="1" applyFill="1" applyBorder="1" applyAlignment="1" applyProtection="1">
      <alignment horizontal="center"/>
    </xf>
    <xf numFmtId="0" fontId="25" fillId="4" borderId="14" xfId="0" applyNumberFormat="1" applyFont="1" applyFill="1" applyBorder="1" applyAlignment="1" applyProtection="1">
      <alignment horizontal="center"/>
    </xf>
    <xf numFmtId="164" fontId="25" fillId="4" borderId="14" xfId="0" applyNumberFormat="1" applyFont="1" applyFill="1" applyBorder="1" applyAlignment="1" applyProtection="1">
      <alignment horizontal="center" vertical="center"/>
    </xf>
    <xf numFmtId="0" fontId="25" fillId="4" borderId="14" xfId="0" applyNumberFormat="1" applyFont="1" applyFill="1" applyBorder="1" applyAlignment="1" applyProtection="1">
      <alignment horizontal="center" vertical="center"/>
    </xf>
    <xf numFmtId="1" fontId="25" fillId="4" borderId="5" xfId="0" applyNumberFormat="1" applyFont="1" applyFill="1" applyBorder="1" applyAlignment="1" applyProtection="1">
      <alignment horizontal="center"/>
    </xf>
    <xf numFmtId="49" fontId="25" fillId="4" borderId="5" xfId="0" applyNumberFormat="1" applyFont="1" applyFill="1" applyBorder="1" applyAlignment="1" applyProtection="1">
      <alignment horizontal="center"/>
    </xf>
    <xf numFmtId="0" fontId="25" fillId="4" borderId="5" xfId="0" applyNumberFormat="1" applyFont="1" applyFill="1" applyBorder="1" applyAlignment="1" applyProtection="1">
      <alignment horizontal="center" vertical="center"/>
    </xf>
    <xf numFmtId="164" fontId="25" fillId="4" borderId="5" xfId="0" applyNumberFormat="1" applyFont="1" applyFill="1" applyBorder="1" applyAlignment="1" applyProtection="1">
      <alignment horizontal="center" vertical="center"/>
    </xf>
    <xf numFmtId="49" fontId="25" fillId="4" borderId="5" xfId="0" applyNumberFormat="1" applyFont="1" applyFill="1" applyBorder="1" applyAlignment="1" applyProtection="1">
      <alignment horizontal="center" vertical="center"/>
    </xf>
    <xf numFmtId="164" fontId="14" fillId="0" borderId="5" xfId="0" applyNumberFormat="1" applyFont="1" applyFill="1" applyBorder="1" applyAlignment="1" applyProtection="1">
      <alignment horizontal="center"/>
    </xf>
    <xf numFmtId="164" fontId="14" fillId="0" borderId="5" xfId="0" applyNumberFormat="1" applyFont="1" applyFill="1" applyBorder="1" applyAlignment="1" applyProtection="1">
      <alignment horizontal="right"/>
    </xf>
    <xf numFmtId="164" fontId="14" fillId="0" borderId="3" xfId="0" applyNumberFormat="1" applyFont="1" applyFill="1" applyBorder="1" applyAlignment="1" applyProtection="1">
      <alignment horizontal="center"/>
    </xf>
    <xf numFmtId="164" fontId="14" fillId="0" borderId="2" xfId="0" applyNumberFormat="1" applyFont="1" applyFill="1" applyBorder="1" applyAlignment="1" applyProtection="1">
      <alignment horizontal="center"/>
    </xf>
    <xf numFmtId="2" fontId="14" fillId="0" borderId="5" xfId="0" applyNumberFormat="1" applyFont="1" applyFill="1" applyBorder="1" applyAlignment="1" applyProtection="1">
      <alignment horizontal="center"/>
    </xf>
    <xf numFmtId="1" fontId="14" fillId="0" borderId="5" xfId="0" applyNumberFormat="1" applyFont="1" applyFill="1" applyBorder="1" applyAlignment="1" applyProtection="1">
      <alignment horizontal="center"/>
    </xf>
    <xf numFmtId="0" fontId="14" fillId="0" borderId="5" xfId="0" applyFont="1" applyFill="1" applyBorder="1" applyProtection="1"/>
    <xf numFmtId="0" fontId="14" fillId="0" borderId="5" xfId="0" applyFont="1" applyFill="1" applyBorder="1" applyProtection="1">
      <protection locked="0"/>
    </xf>
    <xf numFmtId="165" fontId="14" fillId="0" borderId="5" xfId="0" applyNumberFormat="1" applyFont="1" applyFill="1" applyBorder="1" applyAlignment="1" applyProtection="1">
      <alignment horizontal="center"/>
    </xf>
    <xf numFmtId="164" fontId="14" fillId="0" borderId="5" xfId="0" applyNumberFormat="1" applyFont="1" applyFill="1" applyBorder="1" applyAlignment="1" applyProtection="1">
      <alignment horizontal="right"/>
      <protection locked="0"/>
    </xf>
    <xf numFmtId="164" fontId="14" fillId="0" borderId="5" xfId="0" applyNumberFormat="1" applyFont="1" applyFill="1" applyBorder="1" applyAlignment="1" applyProtection="1">
      <alignment horizontal="center"/>
      <protection locked="0"/>
    </xf>
    <xf numFmtId="164" fontId="14" fillId="0" borderId="3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Fill="1" applyBorder="1" applyAlignment="1" applyProtection="1"/>
    <xf numFmtId="164" fontId="14" fillId="0" borderId="2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Fill="1" applyBorder="1" applyAlignment="1" applyProtection="1">
      <alignment horizontal="center"/>
      <protection locked="0"/>
    </xf>
    <xf numFmtId="2" fontId="14" fillId="0" borderId="5" xfId="0" applyNumberFormat="1" applyFont="1" applyFill="1" applyBorder="1" applyAlignment="1" applyProtection="1">
      <alignment horizontal="center"/>
      <protection locked="0"/>
    </xf>
    <xf numFmtId="164" fontId="14" fillId="0" borderId="5" xfId="0" applyNumberFormat="1" applyFont="1" applyFill="1" applyBorder="1" applyAlignment="1" applyProtection="1">
      <protection locked="0"/>
    </xf>
    <xf numFmtId="164" fontId="14" fillId="0" borderId="3" xfId="0" applyNumberFormat="1" applyFont="1" applyFill="1" applyBorder="1" applyAlignment="1" applyProtection="1">
      <protection locked="0"/>
    </xf>
    <xf numFmtId="0" fontId="25" fillId="4" borderId="5" xfId="0" applyFont="1" applyFill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vertical="center"/>
    </xf>
    <xf numFmtId="0" fontId="11" fillId="0" borderId="1" xfId="4" applyFont="1" applyBorder="1" applyAlignment="1" applyProtection="1">
      <alignment vertical="center"/>
    </xf>
    <xf numFmtId="0" fontId="16" fillId="0" borderId="1" xfId="0" applyFont="1" applyBorder="1" applyAlignment="1" applyProtection="1">
      <alignment horizontal="center"/>
    </xf>
    <xf numFmtId="0" fontId="16" fillId="0" borderId="8" xfId="0" applyFont="1" applyBorder="1" applyProtection="1"/>
    <xf numFmtId="0" fontId="14" fillId="0" borderId="12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center" vertical="center"/>
    </xf>
    <xf numFmtId="0" fontId="11" fillId="0" borderId="0" xfId="4" applyFont="1" applyBorder="1" applyAlignment="1" applyProtection="1">
      <alignment vertical="center"/>
    </xf>
    <xf numFmtId="0" fontId="16" fillId="0" borderId="12" xfId="0" applyFont="1" applyBorder="1" applyProtection="1"/>
    <xf numFmtId="0" fontId="16" fillId="0" borderId="0" xfId="0" applyFont="1" applyBorder="1" applyAlignment="1" applyProtection="1">
      <alignment horizontal="center"/>
    </xf>
    <xf numFmtId="0" fontId="16" fillId="0" borderId="13" xfId="0" applyFont="1" applyBorder="1" applyProtection="1"/>
    <xf numFmtId="0" fontId="14" fillId="0" borderId="6" xfId="0" applyFont="1" applyBorder="1" applyAlignment="1" applyProtection="1">
      <alignment vertical="center"/>
    </xf>
    <xf numFmtId="0" fontId="11" fillId="0" borderId="6" xfId="4" applyFont="1" applyBorder="1" applyAlignment="1" applyProtection="1">
      <alignment vertical="center"/>
    </xf>
    <xf numFmtId="0" fontId="16" fillId="0" borderId="6" xfId="0" applyFont="1" applyBorder="1" applyAlignment="1" applyProtection="1">
      <alignment horizontal="center"/>
    </xf>
    <xf numFmtId="164" fontId="6" fillId="0" borderId="11" xfId="2" applyNumberFormat="1" applyFont="1" applyBorder="1" applyAlignment="1" applyProtection="1">
      <alignment horizontal="center" vertical="center"/>
    </xf>
    <xf numFmtId="164" fontId="6" fillId="0" borderId="5" xfId="2" applyNumberFormat="1" applyFont="1" applyBorder="1" applyAlignment="1" applyProtection="1">
      <alignment horizontal="center" vertical="center"/>
    </xf>
    <xf numFmtId="2" fontId="6" fillId="0" borderId="5" xfId="2" applyFont="1" applyBorder="1" applyAlignment="1" applyProtection="1">
      <alignment horizontal="center" vertical="center"/>
    </xf>
    <xf numFmtId="165" fontId="6" fillId="0" borderId="5" xfId="3" applyNumberFormat="1" applyFont="1" applyBorder="1" applyAlignment="1" applyProtection="1">
      <alignment horizontal="center" vertical="center"/>
    </xf>
    <xf numFmtId="1" fontId="9" fillId="0" borderId="5" xfId="2" applyNumberFormat="1" applyFont="1" applyFill="1" applyBorder="1" applyAlignment="1" applyProtection="1">
      <alignment horizontal="center" vertical="center"/>
    </xf>
    <xf numFmtId="1" fontId="9" fillId="0" borderId="5" xfId="0" applyNumberFormat="1" applyFont="1" applyBorder="1" applyAlignment="1" applyProtection="1">
      <alignment horizontal="center" vertical="center"/>
    </xf>
    <xf numFmtId="1" fontId="9" fillId="0" borderId="5" xfId="3" applyNumberFormat="1" applyFont="1" applyFill="1" applyBorder="1" applyAlignment="1" applyProtection="1">
      <alignment horizontal="center" vertical="center"/>
    </xf>
    <xf numFmtId="0" fontId="5" fillId="0" borderId="0" xfId="3" applyFont="1" applyAlignment="1" applyProtection="1">
      <alignment vertical="center"/>
    </xf>
    <xf numFmtId="0" fontId="5" fillId="0" borderId="6" xfId="3" applyFont="1" applyBorder="1" applyAlignment="1" applyProtection="1">
      <alignment vertical="center"/>
    </xf>
    <xf numFmtId="0" fontId="5" fillId="0" borderId="0" xfId="3" applyFont="1" applyBorder="1" applyAlignment="1" applyProtection="1">
      <alignment vertical="center"/>
    </xf>
    <xf numFmtId="0" fontId="30" fillId="0" borderId="0" xfId="3" applyFont="1" applyFill="1" applyBorder="1" applyAlignment="1" applyProtection="1">
      <alignment vertical="center"/>
    </xf>
    <xf numFmtId="0" fontId="30" fillId="0" borderId="0" xfId="3" applyFont="1" applyBorder="1" applyAlignment="1" applyProtection="1">
      <alignment vertical="center"/>
    </xf>
    <xf numFmtId="0" fontId="5" fillId="0" borderId="7" xfId="3" applyFont="1" applyBorder="1" applyAlignment="1" applyProtection="1">
      <alignment vertical="center"/>
    </xf>
    <xf numFmtId="0" fontId="5" fillId="0" borderId="13" xfId="3" applyFont="1" applyBorder="1" applyAlignment="1" applyProtection="1">
      <alignment vertical="center"/>
    </xf>
    <xf numFmtId="0" fontId="36" fillId="0" borderId="0" xfId="3" applyFont="1" applyAlignment="1" applyProtection="1">
      <alignment vertical="center"/>
    </xf>
    <xf numFmtId="0" fontId="20" fillId="0" borderId="0" xfId="4" applyNumberFormat="1" applyFont="1" applyBorder="1" applyAlignment="1" applyProtection="1">
      <alignment vertical="center" wrapText="1"/>
    </xf>
    <xf numFmtId="0" fontId="20" fillId="0" borderId="0" xfId="4" applyNumberFormat="1" applyFont="1" applyBorder="1" applyAlignment="1" applyProtection="1">
      <alignment vertical="center"/>
    </xf>
    <xf numFmtId="0" fontId="20" fillId="0" borderId="0" xfId="4" applyNumberFormat="1" applyFont="1" applyAlignment="1" applyProtection="1">
      <alignment vertical="center"/>
    </xf>
    <xf numFmtId="49" fontId="20" fillId="0" borderId="0" xfId="4" applyNumberFormat="1" applyFont="1" applyAlignment="1" applyProtection="1">
      <alignment vertical="center"/>
    </xf>
    <xf numFmtId="0" fontId="20" fillId="0" borderId="0" xfId="4" applyNumberFormat="1" applyFont="1" applyAlignment="1" applyProtection="1">
      <alignment vertical="center" wrapText="1"/>
    </xf>
    <xf numFmtId="0" fontId="20" fillId="0" borderId="0" xfId="4" applyNumberFormat="1" applyFont="1" applyFill="1" applyBorder="1" applyAlignment="1" applyProtection="1">
      <alignment vertical="center"/>
    </xf>
    <xf numFmtId="0" fontId="20" fillId="0" borderId="0" xfId="4" applyNumberFormat="1" applyFont="1" applyFill="1" applyBorder="1" applyAlignment="1" applyProtection="1">
      <alignment horizontal="center" vertical="center"/>
    </xf>
    <xf numFmtId="0" fontId="18" fillId="0" borderId="33" xfId="4" applyFont="1" applyFill="1" applyBorder="1" applyAlignment="1" applyProtection="1">
      <alignment horizontal="center" vertical="center"/>
    </xf>
    <xf numFmtId="0" fontId="11" fillId="0" borderId="0" xfId="4" applyFont="1" applyFill="1" applyBorder="1" applyAlignment="1" applyProtection="1">
      <alignment vertical="center"/>
    </xf>
    <xf numFmtId="0" fontId="12" fillId="0" borderId="6" xfId="4" applyFont="1" applyFill="1" applyBorder="1" applyProtection="1"/>
    <xf numFmtId="0" fontId="12" fillId="0" borderId="9" xfId="4" applyFont="1" applyFill="1" applyBorder="1" applyProtection="1"/>
    <xf numFmtId="0" fontId="12" fillId="0" borderId="0" xfId="4" applyFont="1" applyFill="1" applyBorder="1" applyAlignment="1" applyProtection="1">
      <alignment wrapText="1"/>
    </xf>
    <xf numFmtId="0" fontId="5" fillId="0" borderId="1" xfId="3" applyFont="1" applyBorder="1" applyAlignment="1" applyProtection="1">
      <alignment vertical="center"/>
    </xf>
    <xf numFmtId="12" fontId="11" fillId="0" borderId="0" xfId="4" applyNumberFormat="1" applyFont="1" applyFill="1" applyBorder="1" applyAlignment="1" applyProtection="1">
      <alignment horizontal="center" vertical="center"/>
    </xf>
    <xf numFmtId="0" fontId="12" fillId="0" borderId="6" xfId="4" applyFont="1" applyBorder="1" applyProtection="1"/>
    <xf numFmtId="0" fontId="12" fillId="0" borderId="9" xfId="4" applyFont="1" applyBorder="1" applyProtection="1"/>
    <xf numFmtId="0" fontId="12" fillId="0" borderId="1" xfId="4" applyFont="1" applyBorder="1" applyProtection="1"/>
    <xf numFmtId="0" fontId="12" fillId="0" borderId="10" xfId="4" applyFont="1" applyBorder="1" applyProtection="1"/>
    <xf numFmtId="0" fontId="12" fillId="0" borderId="7" xfId="4" applyFont="1" applyBorder="1" applyProtection="1"/>
    <xf numFmtId="0" fontId="16" fillId="0" borderId="0" xfId="0" applyFont="1" applyBorder="1" applyAlignment="1" applyProtection="1">
      <alignment horizontal="center" vertical="center"/>
    </xf>
    <xf numFmtId="0" fontId="12" fillId="0" borderId="8" xfId="4" applyFont="1" applyBorder="1" applyProtection="1"/>
    <xf numFmtId="0" fontId="12" fillId="0" borderId="6" xfId="4" applyFont="1" applyFill="1" applyBorder="1" applyAlignment="1" applyProtection="1"/>
    <xf numFmtId="0" fontId="12" fillId="0" borderId="7" xfId="4" applyFont="1" applyFill="1" applyBorder="1" applyProtection="1"/>
    <xf numFmtId="164" fontId="12" fillId="0" borderId="6" xfId="4" applyNumberFormat="1" applyFont="1" applyFill="1" applyBorder="1" applyProtection="1"/>
    <xf numFmtId="164" fontId="12" fillId="0" borderId="6" xfId="3" applyNumberFormat="1" applyFont="1" applyBorder="1" applyAlignment="1" applyProtection="1">
      <alignment horizontal="center" vertical="center"/>
    </xf>
    <xf numFmtId="0" fontId="12" fillId="0" borderId="13" xfId="3" applyFont="1" applyBorder="1" applyAlignment="1" applyProtection="1">
      <alignment vertical="center"/>
    </xf>
    <xf numFmtId="0" fontId="16" fillId="0" borderId="13" xfId="0" applyFont="1" applyBorder="1" applyAlignment="1" applyProtection="1">
      <alignment vertical="center"/>
    </xf>
    <xf numFmtId="0" fontId="12" fillId="0" borderId="8" xfId="3" applyFont="1" applyBorder="1" applyAlignment="1" applyProtection="1">
      <alignment vertical="center"/>
    </xf>
    <xf numFmtId="0" fontId="12" fillId="0" borderId="1" xfId="3" applyFont="1" applyBorder="1" applyAlignment="1" applyProtection="1">
      <alignment vertical="center"/>
    </xf>
    <xf numFmtId="0" fontId="9" fillId="4" borderId="15" xfId="4" applyFont="1" applyFill="1" applyBorder="1" applyAlignment="1" applyProtection="1">
      <alignment horizontal="center" vertical="center" wrapText="1"/>
    </xf>
    <xf numFmtId="164" fontId="7" fillId="0" borderId="15" xfId="3" applyNumberFormat="1" applyFont="1" applyBorder="1" applyAlignment="1" applyProtection="1">
      <alignment horizontal="center" vertical="center"/>
    </xf>
    <xf numFmtId="164" fontId="17" fillId="0" borderId="15" xfId="3" applyNumberFormat="1" applyFont="1" applyBorder="1" applyAlignment="1" applyProtection="1">
      <alignment vertical="center"/>
    </xf>
    <xf numFmtId="0" fontId="11" fillId="0" borderId="14" xfId="4" applyFont="1" applyFill="1" applyBorder="1" applyAlignment="1" applyProtection="1">
      <alignment vertical="center"/>
    </xf>
    <xf numFmtId="164" fontId="12" fillId="0" borderId="6" xfId="4" applyNumberFormat="1" applyFont="1" applyBorder="1" applyAlignment="1" applyProtection="1">
      <alignment horizontal="center" vertical="center"/>
    </xf>
    <xf numFmtId="164" fontId="11" fillId="0" borderId="6" xfId="4" applyNumberFormat="1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16" fillId="0" borderId="6" xfId="0" applyFont="1" applyBorder="1" applyAlignment="1" applyProtection="1">
      <alignment horizontal="center" vertical="center"/>
    </xf>
    <xf numFmtId="0" fontId="16" fillId="0" borderId="6" xfId="0" applyFont="1" applyBorder="1" applyAlignment="1" applyProtection="1">
      <alignment vertical="center"/>
    </xf>
    <xf numFmtId="0" fontId="24" fillId="0" borderId="6" xfId="0" applyFont="1" applyBorder="1" applyAlignment="1" applyProtection="1">
      <alignment vertical="center"/>
    </xf>
    <xf numFmtId="0" fontId="16" fillId="0" borderId="9" xfId="0" applyFont="1" applyBorder="1" applyAlignment="1" applyProtection="1">
      <alignment vertical="center"/>
    </xf>
    <xf numFmtId="0" fontId="24" fillId="0" borderId="0" xfId="0" applyFont="1" applyBorder="1" applyAlignment="1" applyProtection="1">
      <alignment vertical="center"/>
    </xf>
    <xf numFmtId="0" fontId="16" fillId="0" borderId="12" xfId="0" applyFont="1" applyBorder="1" applyAlignment="1" applyProtection="1">
      <alignment vertical="center"/>
    </xf>
    <xf numFmtId="0" fontId="24" fillId="0" borderId="1" xfId="0" applyFont="1" applyBorder="1" applyAlignment="1" applyProtection="1">
      <alignment vertical="center"/>
    </xf>
    <xf numFmtId="0" fontId="20" fillId="0" borderId="0" xfId="4" applyFont="1" applyBorder="1" applyAlignment="1" applyProtection="1">
      <alignment vertical="center"/>
    </xf>
    <xf numFmtId="0" fontId="18" fillId="0" borderId="0" xfId="4" applyFont="1" applyFill="1" applyBorder="1" applyAlignment="1" applyProtection="1">
      <alignment vertical="center"/>
    </xf>
    <xf numFmtId="0" fontId="39" fillId="0" borderId="0" xfId="4" applyFont="1" applyFill="1" applyBorder="1" applyAlignment="1" applyProtection="1">
      <alignment vertical="center"/>
    </xf>
    <xf numFmtId="0" fontId="20" fillId="0" borderId="13" xfId="4" applyFont="1" applyBorder="1" applyAlignment="1" applyProtection="1">
      <alignment vertical="center"/>
    </xf>
    <xf numFmtId="0" fontId="20" fillId="0" borderId="12" xfId="4" applyFont="1" applyBorder="1" applyAlignment="1" applyProtection="1">
      <alignment vertical="center"/>
    </xf>
    <xf numFmtId="0" fontId="20" fillId="0" borderId="1" xfId="4" applyFont="1" applyBorder="1" applyAlignment="1" applyProtection="1">
      <alignment vertical="center"/>
    </xf>
    <xf numFmtId="0" fontId="20" fillId="0" borderId="10" xfId="4" applyFont="1" applyBorder="1" applyAlignment="1" applyProtection="1">
      <alignment vertical="center"/>
    </xf>
    <xf numFmtId="0" fontId="2" fillId="0" borderId="5" xfId="0" applyFont="1" applyBorder="1" applyAlignment="1" applyProtection="1">
      <alignment horizontal="center" vertical="center"/>
    </xf>
    <xf numFmtId="1" fontId="20" fillId="0" borderId="5" xfId="4" applyNumberFormat="1" applyFont="1" applyBorder="1" applyAlignment="1" applyProtection="1">
      <alignment horizontal="center" vertical="center"/>
      <protection locked="0"/>
    </xf>
    <xf numFmtId="0" fontId="3" fillId="8" borderId="5" xfId="0" applyFont="1" applyFill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center" vertical="center"/>
    </xf>
    <xf numFmtId="0" fontId="3" fillId="8" borderId="5" xfId="0" applyNumberFormat="1" applyFont="1" applyFill="1" applyBorder="1" applyAlignment="1" applyProtection="1">
      <alignment horizontal="left" vertical="center"/>
    </xf>
    <xf numFmtId="0" fontId="2" fillId="0" borderId="0" xfId="0" applyFont="1" applyAlignment="1" applyProtection="1">
      <alignment vertical="center" wrapText="1"/>
    </xf>
    <xf numFmtId="0" fontId="3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 wrapText="1"/>
    </xf>
    <xf numFmtId="0" fontId="3" fillId="0" borderId="4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3" fillId="0" borderId="6" xfId="0" applyFont="1" applyBorder="1" applyAlignment="1" applyProtection="1">
      <alignment horizontal="left" vertical="center"/>
    </xf>
    <xf numFmtId="0" fontId="3" fillId="0" borderId="0" xfId="0" applyFont="1" applyAlignment="1" applyProtection="1">
      <alignment vertical="center" wrapText="1"/>
    </xf>
    <xf numFmtId="49" fontId="3" fillId="0" borderId="5" xfId="0" applyNumberFormat="1" applyFont="1" applyBorder="1" applyAlignment="1" applyProtection="1">
      <alignment horizontal="center" vertical="center"/>
      <protection locked="0"/>
    </xf>
    <xf numFmtId="164" fontId="10" fillId="0" borderId="5" xfId="0" applyNumberFormat="1" applyFont="1" applyBorder="1" applyAlignment="1" applyProtection="1">
      <alignment horizontal="left" vertical="center"/>
      <protection locked="0"/>
    </xf>
    <xf numFmtId="165" fontId="10" fillId="0" borderId="5" xfId="0" applyNumberFormat="1" applyFont="1" applyBorder="1" applyAlignment="1" applyProtection="1">
      <alignment horizontal="left" vertical="center"/>
      <protection locked="0"/>
    </xf>
    <xf numFmtId="2" fontId="10" fillId="0" borderId="5" xfId="0" applyNumberFormat="1" applyFont="1" applyBorder="1" applyAlignment="1" applyProtection="1">
      <alignment horizontal="left" vertical="center"/>
      <protection locked="0"/>
    </xf>
    <xf numFmtId="0" fontId="10" fillId="0" borderId="5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vertical="center"/>
    </xf>
    <xf numFmtId="0" fontId="6" fillId="0" borderId="5" xfId="0" applyFont="1" applyBorder="1" applyAlignment="1" applyProtection="1">
      <alignment horizontal="center" vertical="center"/>
    </xf>
    <xf numFmtId="0" fontId="3" fillId="0" borderId="5" xfId="0" applyNumberFormat="1" applyFont="1" applyBorder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3" fillId="0" borderId="5" xfId="0" applyFont="1" applyBorder="1" applyAlignment="1" applyProtection="1">
      <alignment vertical="center"/>
    </xf>
    <xf numFmtId="2" fontId="7" fillId="0" borderId="5" xfId="3" applyNumberFormat="1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165" fontId="6" fillId="0" borderId="5" xfId="2" applyNumberFormat="1" applyFont="1" applyBorder="1" applyAlignment="1" applyProtection="1">
      <alignment horizontal="center" vertical="center"/>
    </xf>
    <xf numFmtId="2" fontId="6" fillId="0" borderId="5" xfId="2" applyNumberFormat="1" applyFont="1" applyBorder="1" applyAlignment="1" applyProtection="1">
      <alignment horizontal="center" vertical="center"/>
    </xf>
    <xf numFmtId="0" fontId="37" fillId="0" borderId="6" xfId="0" applyFont="1" applyBorder="1" applyAlignment="1" applyProtection="1">
      <alignment vertical="center"/>
    </xf>
    <xf numFmtId="0" fontId="37" fillId="0" borderId="9" xfId="0" applyFont="1" applyBorder="1" applyAlignment="1" applyProtection="1">
      <alignment vertical="center"/>
    </xf>
    <xf numFmtId="0" fontId="37" fillId="0" borderId="0" xfId="0" applyFont="1" applyAlignment="1" applyProtection="1">
      <alignment vertical="center"/>
    </xf>
    <xf numFmtId="0" fontId="37" fillId="0" borderId="0" xfId="0" applyFont="1" applyBorder="1" applyAlignment="1" applyProtection="1">
      <alignment vertical="center"/>
    </xf>
    <xf numFmtId="0" fontId="37" fillId="0" borderId="12" xfId="0" applyFont="1" applyBorder="1" applyAlignment="1" applyProtection="1">
      <alignment vertical="center"/>
    </xf>
    <xf numFmtId="0" fontId="35" fillId="0" borderId="0" xfId="0" applyFont="1" applyAlignment="1" applyProtection="1">
      <alignment vertical="center"/>
    </xf>
    <xf numFmtId="0" fontId="37" fillId="0" borderId="1" xfId="0" applyFont="1" applyBorder="1" applyAlignment="1" applyProtection="1">
      <alignment vertical="center"/>
    </xf>
    <xf numFmtId="0" fontId="37" fillId="0" borderId="10" xfId="0" applyFont="1" applyBorder="1" applyAlignment="1" applyProtection="1">
      <alignment vertical="center"/>
    </xf>
    <xf numFmtId="0" fontId="20" fillId="0" borderId="0" xfId="4" applyNumberFormat="1" applyFont="1" applyAlignment="1" applyProtection="1">
      <alignment horizontal="center" vertical="center" wrapText="1"/>
    </xf>
    <xf numFmtId="1" fontId="7" fillId="0" borderId="5" xfId="3" applyNumberFormat="1" applyFont="1" applyBorder="1" applyAlignment="1" applyProtection="1">
      <alignment horizontal="center" vertical="center"/>
    </xf>
    <xf numFmtId="2" fontId="10" fillId="6" borderId="5" xfId="0" applyNumberFormat="1" applyFont="1" applyFill="1" applyBorder="1" applyAlignment="1" applyProtection="1">
      <alignment horizontal="left" vertical="center"/>
    </xf>
    <xf numFmtId="164" fontId="10" fillId="6" borderId="5" xfId="0" applyNumberFormat="1" applyFont="1" applyFill="1" applyBorder="1" applyAlignment="1" applyProtection="1">
      <alignment horizontal="left" vertical="center"/>
    </xf>
    <xf numFmtId="165" fontId="10" fillId="6" borderId="5" xfId="0" applyNumberFormat="1" applyFont="1" applyFill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left" vertical="center"/>
    </xf>
    <xf numFmtId="0" fontId="10" fillId="6" borderId="5" xfId="0" applyFont="1" applyFill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0" fontId="43" fillId="4" borderId="5" xfId="11" applyFont="1" applyFill="1" applyBorder="1" applyAlignment="1" applyProtection="1">
      <alignment horizontal="left" vertical="center" wrapText="1"/>
    </xf>
    <xf numFmtId="0" fontId="41" fillId="0" borderId="0" xfId="11" applyFill="1" applyAlignment="1" applyProtection="1">
      <alignment horizontal="center" vertical="center" wrapText="1"/>
    </xf>
    <xf numFmtId="0" fontId="43" fillId="0" borderId="5" xfId="11" applyFont="1" applyFill="1" applyBorder="1" applyAlignment="1" applyProtection="1">
      <alignment horizontal="left" vertical="center" wrapText="1"/>
    </xf>
    <xf numFmtId="0" fontId="40" fillId="2" borderId="5" xfId="11" applyFont="1" applyFill="1" applyBorder="1" applyAlignment="1" applyProtection="1">
      <alignment horizontal="center" vertical="center" wrapText="1"/>
    </xf>
    <xf numFmtId="0" fontId="40" fillId="4" borderId="5" xfId="11" applyFont="1" applyFill="1" applyBorder="1" applyAlignment="1" applyProtection="1">
      <alignment horizontal="left" vertical="center" wrapText="1"/>
    </xf>
    <xf numFmtId="0" fontId="40" fillId="0" borderId="5" xfId="11" applyFont="1" applyFill="1" applyBorder="1" applyAlignment="1" applyProtection="1">
      <alignment horizontal="left" vertical="center" wrapText="1"/>
    </xf>
    <xf numFmtId="0" fontId="41" fillId="9" borderId="2" xfId="11" applyFill="1" applyBorder="1" applyAlignment="1" applyProtection="1">
      <alignment vertical="center" wrapText="1"/>
    </xf>
    <xf numFmtId="0" fontId="41" fillId="9" borderId="4" xfId="11" applyFill="1" applyBorder="1" applyAlignment="1" applyProtection="1">
      <alignment vertical="center" wrapText="1"/>
    </xf>
    <xf numFmtId="0" fontId="41" fillId="9" borderId="3" xfId="11" applyFill="1" applyBorder="1" applyAlignment="1" applyProtection="1">
      <alignment vertical="center" wrapText="1"/>
    </xf>
    <xf numFmtId="0" fontId="42" fillId="0" borderId="5" xfId="11" applyFont="1" applyFill="1" applyBorder="1" applyAlignment="1" applyProtection="1">
      <alignment horizontal="center" vertical="center" wrapText="1"/>
    </xf>
    <xf numFmtId="0" fontId="41" fillId="0" borderId="5" xfId="11" applyFill="1" applyBorder="1" applyAlignment="1" applyProtection="1">
      <alignment horizontal="center" vertical="center" wrapText="1"/>
    </xf>
    <xf numFmtId="0" fontId="42" fillId="4" borderId="5" xfId="11" applyFont="1" applyFill="1" applyBorder="1" applyAlignment="1" applyProtection="1">
      <alignment horizontal="center" vertical="center" wrapText="1"/>
    </xf>
    <xf numFmtId="0" fontId="41" fillId="4" borderId="5" xfId="11" applyFill="1" applyBorder="1" applyAlignment="1" applyProtection="1">
      <alignment horizontal="center" vertical="center" wrapText="1"/>
    </xf>
    <xf numFmtId="0" fontId="41" fillId="6" borderId="2" xfId="11" applyFill="1" applyBorder="1" applyAlignment="1" applyProtection="1">
      <alignment vertical="center" wrapText="1"/>
    </xf>
    <xf numFmtId="0" fontId="41" fillId="6" borderId="3" xfId="11" applyFill="1" applyBorder="1" applyAlignment="1" applyProtection="1">
      <alignment vertical="center" wrapText="1"/>
    </xf>
    <xf numFmtId="0" fontId="41" fillId="6" borderId="7" xfId="11" applyFill="1" applyBorder="1" applyAlignment="1" applyProtection="1">
      <alignment vertical="center" wrapText="1"/>
    </xf>
    <xf numFmtId="0" fontId="41" fillId="6" borderId="6" xfId="11" applyFill="1" applyBorder="1" applyAlignment="1" applyProtection="1">
      <alignment vertical="center" wrapText="1"/>
    </xf>
    <xf numFmtId="0" fontId="41" fillId="6" borderId="9" xfId="11" applyFill="1" applyBorder="1" applyAlignment="1" applyProtection="1">
      <alignment vertical="center" wrapText="1"/>
    </xf>
    <xf numFmtId="0" fontId="41" fillId="6" borderId="13" xfId="11" applyFill="1" applyBorder="1" applyAlignment="1" applyProtection="1">
      <alignment vertical="center" wrapText="1"/>
    </xf>
    <xf numFmtId="0" fontId="41" fillId="6" borderId="0" xfId="11" applyFill="1" applyBorder="1" applyAlignment="1" applyProtection="1">
      <alignment vertical="center" wrapText="1"/>
    </xf>
    <xf numFmtId="0" fontId="41" fillId="6" borderId="12" xfId="11" applyFill="1" applyBorder="1" applyAlignment="1" applyProtection="1">
      <alignment vertical="center" wrapText="1"/>
    </xf>
    <xf numFmtId="0" fontId="41" fillId="6" borderId="8" xfId="11" applyFill="1" applyBorder="1" applyAlignment="1" applyProtection="1">
      <alignment vertical="center" wrapText="1"/>
    </xf>
    <xf numFmtId="0" fontId="41" fillId="6" borderId="1" xfId="11" applyFill="1" applyBorder="1" applyAlignment="1" applyProtection="1">
      <alignment vertical="center" wrapText="1"/>
    </xf>
    <xf numFmtId="0" fontId="41" fillId="6" borderId="10" xfId="11" applyFill="1" applyBorder="1" applyAlignment="1" applyProtection="1">
      <alignment vertical="center" wrapText="1"/>
    </xf>
    <xf numFmtId="0" fontId="41" fillId="6" borderId="6" xfId="11" applyFill="1" applyBorder="1" applyAlignment="1" applyProtection="1">
      <alignment horizontal="center" vertical="center" wrapText="1"/>
    </xf>
    <xf numFmtId="0" fontId="40" fillId="6" borderId="6" xfId="11" applyFont="1" applyFill="1" applyBorder="1" applyAlignment="1" applyProtection="1">
      <alignment horizontal="center" vertical="center" wrapText="1"/>
    </xf>
    <xf numFmtId="0" fontId="41" fillId="6" borderId="0" xfId="11" applyFill="1" applyBorder="1" applyAlignment="1" applyProtection="1">
      <alignment horizontal="center" vertical="center" wrapText="1"/>
    </xf>
    <xf numFmtId="0" fontId="41" fillId="6" borderId="0" xfId="11" applyFill="1" applyAlignment="1" applyProtection="1">
      <alignment horizontal="center" vertical="center" wrapText="1"/>
    </xf>
    <xf numFmtId="0" fontId="1" fillId="4" borderId="5" xfId="11" applyFont="1" applyFill="1" applyBorder="1" applyAlignment="1" applyProtection="1">
      <alignment horizontal="center" vertical="center" wrapText="1"/>
    </xf>
    <xf numFmtId="0" fontId="1" fillId="0" borderId="5" xfId="11" applyFont="1" applyBorder="1" applyAlignment="1" applyProtection="1">
      <alignment horizontal="center" vertical="center" wrapText="1"/>
    </xf>
    <xf numFmtId="0" fontId="18" fillId="2" borderId="15" xfId="4" applyFont="1" applyFill="1" applyBorder="1" applyAlignment="1" applyProtection="1">
      <alignment vertical="center" textRotation="90"/>
    </xf>
    <xf numFmtId="0" fontId="18" fillId="2" borderId="35" xfId="4" applyFont="1" applyFill="1" applyBorder="1" applyAlignment="1" applyProtection="1">
      <alignment vertical="center" textRotation="90"/>
    </xf>
    <xf numFmtId="0" fontId="18" fillId="4" borderId="3" xfId="4" applyFont="1" applyFill="1" applyBorder="1" applyAlignment="1" applyProtection="1">
      <alignment vertical="center"/>
    </xf>
    <xf numFmtId="0" fontId="18" fillId="4" borderId="22" xfId="4" applyFont="1" applyFill="1" applyBorder="1" applyAlignment="1" applyProtection="1">
      <alignment vertical="center"/>
    </xf>
    <xf numFmtId="0" fontId="18" fillId="4" borderId="20" xfId="4" applyFont="1" applyFill="1" applyBorder="1" applyAlignment="1" applyProtection="1">
      <alignment vertical="center"/>
    </xf>
    <xf numFmtId="0" fontId="18" fillId="4" borderId="21" xfId="4" applyFont="1" applyFill="1" applyBorder="1" applyAlignment="1" applyProtection="1">
      <alignment vertical="center"/>
    </xf>
    <xf numFmtId="0" fontId="18" fillId="4" borderId="28" xfId="4" applyFont="1" applyFill="1" applyBorder="1" applyAlignment="1" applyProtection="1">
      <alignment vertical="center"/>
    </xf>
    <xf numFmtId="0" fontId="18" fillId="4" borderId="29" xfId="4" applyFont="1" applyFill="1" applyBorder="1" applyAlignment="1" applyProtection="1">
      <alignment vertical="center"/>
    </xf>
    <xf numFmtId="0" fontId="18" fillId="4" borderId="30" xfId="4" applyFont="1" applyFill="1" applyBorder="1" applyAlignment="1" applyProtection="1">
      <alignment vertical="center"/>
    </xf>
    <xf numFmtId="0" fontId="3" fillId="0" borderId="2" xfId="0" applyFont="1" applyBorder="1" applyAlignment="1" applyProtection="1">
      <alignment vertical="center"/>
    </xf>
    <xf numFmtId="0" fontId="3" fillId="0" borderId="3" xfId="0" applyFont="1" applyBorder="1" applyAlignment="1" applyProtection="1">
      <alignment vertical="center"/>
    </xf>
    <xf numFmtId="2" fontId="3" fillId="0" borderId="5" xfId="0" applyNumberFormat="1" applyFont="1" applyBorder="1" applyAlignment="1" applyProtection="1">
      <alignment horizontal="center" vertical="center"/>
    </xf>
    <xf numFmtId="0" fontId="15" fillId="4" borderId="5" xfId="0" applyFont="1" applyFill="1" applyBorder="1" applyAlignment="1" applyProtection="1">
      <alignment horizontal="center" vertical="center"/>
    </xf>
    <xf numFmtId="0" fontId="43" fillId="9" borderId="13" xfId="11" applyFont="1" applyFill="1" applyBorder="1" applyAlignment="1" applyProtection="1">
      <alignment vertical="center" wrapText="1"/>
    </xf>
    <xf numFmtId="0" fontId="43" fillId="9" borderId="0" xfId="11" applyFont="1" applyFill="1" applyBorder="1" applyAlignment="1" applyProtection="1">
      <alignment vertical="center" wrapText="1"/>
    </xf>
    <xf numFmtId="0" fontId="43" fillId="6" borderId="13" xfId="11" applyFont="1" applyFill="1" applyBorder="1" applyAlignment="1" applyProtection="1">
      <alignment vertical="center" wrapText="1"/>
    </xf>
    <xf numFmtId="0" fontId="43" fillId="6" borderId="0" xfId="11" applyFont="1" applyFill="1" applyBorder="1" applyAlignment="1" applyProtection="1">
      <alignment vertical="center" wrapText="1"/>
    </xf>
    <xf numFmtId="0" fontId="3" fillId="0" borderId="6" xfId="0" applyFont="1" applyBorder="1" applyAlignment="1" applyProtection="1">
      <alignment vertical="center" wrapText="1"/>
    </xf>
    <xf numFmtId="164" fontId="16" fillId="0" borderId="0" xfId="0" applyNumberFormat="1" applyFont="1" applyProtection="1"/>
    <xf numFmtId="0" fontId="12" fillId="0" borderId="0" xfId="4" applyFont="1" applyBorder="1" applyAlignment="1" applyProtection="1">
      <alignment horizontal="center" vertical="center"/>
    </xf>
    <xf numFmtId="0" fontId="25" fillId="4" borderId="5" xfId="0" applyFont="1" applyFill="1" applyBorder="1" applyAlignment="1" applyProtection="1">
      <alignment horizontal="center" vertical="center"/>
    </xf>
    <xf numFmtId="0" fontId="20" fillId="2" borderId="13" xfId="4" applyFont="1" applyFill="1" applyBorder="1" applyAlignment="1" applyProtection="1">
      <alignment vertical="center"/>
    </xf>
    <xf numFmtId="0" fontId="25" fillId="4" borderId="5" xfId="0" applyFont="1" applyFill="1" applyBorder="1" applyAlignment="1" applyProtection="1">
      <alignment horizontal="center" vertical="center"/>
    </xf>
    <xf numFmtId="164" fontId="26" fillId="0" borderId="4" xfId="0" applyNumberFormat="1" applyFont="1" applyFill="1" applyBorder="1" applyAlignment="1" applyProtection="1">
      <alignment horizontal="center" vertical="center"/>
    </xf>
    <xf numFmtId="0" fontId="5" fillId="0" borderId="0" xfId="3" applyFont="1" applyBorder="1" applyAlignment="1" applyProtection="1">
      <alignment horizontal="center" vertical="center"/>
      <protection locked="0"/>
    </xf>
    <xf numFmtId="0" fontId="18" fillId="4" borderId="5" xfId="4" applyFont="1" applyFill="1" applyBorder="1" applyAlignment="1" applyProtection="1">
      <alignment horizontal="center" vertical="center"/>
    </xf>
    <xf numFmtId="0" fontId="18" fillId="4" borderId="27" xfId="4" applyFont="1" applyFill="1" applyBorder="1" applyAlignment="1" applyProtection="1">
      <alignment horizontal="center" vertical="center" wrapText="1"/>
    </xf>
    <xf numFmtId="0" fontId="20" fillId="0" borderId="5" xfId="4" applyFont="1" applyBorder="1" applyAlignment="1" applyProtection="1">
      <alignment horizontal="center" vertical="center"/>
    </xf>
    <xf numFmtId="0" fontId="18" fillId="4" borderId="22" xfId="4" applyFont="1" applyFill="1" applyBorder="1" applyAlignment="1" applyProtection="1">
      <alignment horizontal="left" vertical="center" indent="1"/>
    </xf>
    <xf numFmtId="0" fontId="18" fillId="4" borderId="20" xfId="4" applyFont="1" applyFill="1" applyBorder="1" applyAlignment="1" applyProtection="1">
      <alignment horizontal="left" vertical="center" indent="1"/>
    </xf>
    <xf numFmtId="0" fontId="18" fillId="4" borderId="21" xfId="4" applyFont="1" applyFill="1" applyBorder="1" applyAlignment="1" applyProtection="1">
      <alignment horizontal="left" vertical="center" indent="1"/>
    </xf>
    <xf numFmtId="0" fontId="25" fillId="4" borderId="5" xfId="0" applyFont="1" applyFill="1" applyBorder="1" applyAlignment="1" applyProtection="1">
      <alignment horizontal="center" vertical="center"/>
    </xf>
    <xf numFmtId="164" fontId="26" fillId="0" borderId="1" xfId="0" applyNumberFormat="1" applyFont="1" applyFill="1" applyBorder="1" applyAlignment="1" applyProtection="1">
      <alignment horizontal="center" vertical="center"/>
    </xf>
    <xf numFmtId="2" fontId="45" fillId="0" borderId="0" xfId="0" applyNumberFormat="1" applyFont="1" applyFill="1" applyBorder="1" applyAlignment="1" applyProtection="1">
      <alignment vertical="center" wrapText="1"/>
    </xf>
    <xf numFmtId="164" fontId="34" fillId="0" borderId="0" xfId="0" applyNumberFormat="1" applyFont="1" applyBorder="1" applyAlignment="1" applyProtection="1">
      <alignment vertical="center"/>
    </xf>
    <xf numFmtId="0" fontId="11" fillId="0" borderId="7" xfId="4" applyFont="1" applyFill="1" applyBorder="1" applyAlignment="1" applyProtection="1">
      <alignment vertical="center"/>
    </xf>
    <xf numFmtId="0" fontId="11" fillId="0" borderId="6" xfId="4" applyFont="1" applyFill="1" applyBorder="1" applyAlignment="1" applyProtection="1">
      <alignment vertical="center"/>
    </xf>
    <xf numFmtId="0" fontId="11" fillId="0" borderId="9" xfId="4" applyFont="1" applyFill="1" applyBorder="1" applyAlignment="1" applyProtection="1">
      <alignment vertical="center"/>
    </xf>
    <xf numFmtId="14" fontId="8" fillId="0" borderId="0" xfId="3" applyNumberFormat="1" applyFont="1" applyBorder="1" applyAlignment="1" applyProtection="1">
      <alignment horizontal="left" vertical="center" wrapText="1"/>
    </xf>
    <xf numFmtId="0" fontId="8" fillId="0" borderId="0" xfId="3" applyFont="1" applyBorder="1" applyAlignment="1" applyProtection="1">
      <alignment horizontal="left" vertical="center" wrapText="1"/>
    </xf>
    <xf numFmtId="0" fontId="11" fillId="0" borderId="0" xfId="3" applyFont="1" applyFill="1" applyBorder="1" applyAlignment="1" applyProtection="1">
      <alignment horizontal="center" vertical="center"/>
    </xf>
    <xf numFmtId="0" fontId="25" fillId="4" borderId="0" xfId="3" applyFont="1" applyFill="1" applyBorder="1" applyAlignment="1" applyProtection="1">
      <alignment horizontal="center" vertical="center" wrapText="1"/>
    </xf>
    <xf numFmtId="164" fontId="17" fillId="0" borderId="0" xfId="3" applyNumberFormat="1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left" vertical="center"/>
    </xf>
    <xf numFmtId="0" fontId="6" fillId="0" borderId="4" xfId="0" applyFont="1" applyBorder="1" applyAlignment="1" applyProtection="1">
      <alignment horizontal="left" vertical="center"/>
    </xf>
    <xf numFmtId="0" fontId="6" fillId="0" borderId="3" xfId="0" applyFont="1" applyBorder="1" applyAlignment="1" applyProtection="1">
      <alignment horizontal="left" vertical="center"/>
    </xf>
    <xf numFmtId="0" fontId="2" fillId="0" borderId="5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 wrapText="1"/>
    </xf>
    <xf numFmtId="164" fontId="7" fillId="0" borderId="5" xfId="3" applyNumberFormat="1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164" fontId="8" fillId="0" borderId="5" xfId="3" applyNumberFormat="1" applyFont="1" applyBorder="1" applyAlignment="1" applyProtection="1">
      <alignment horizontal="center" vertical="center"/>
    </xf>
    <xf numFmtId="0" fontId="15" fillId="2" borderId="2" xfId="0" applyFont="1" applyFill="1" applyBorder="1" applyAlignment="1" applyProtection="1">
      <alignment vertical="center"/>
    </xf>
    <xf numFmtId="0" fontId="15" fillId="2" borderId="3" xfId="0" applyFont="1" applyFill="1" applyBorder="1" applyAlignment="1" applyProtection="1">
      <alignment vertical="center"/>
    </xf>
    <xf numFmtId="0" fontId="2" fillId="2" borderId="4" xfId="0" applyFont="1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vertical="center"/>
    </xf>
    <xf numFmtId="0" fontId="15" fillId="2" borderId="13" xfId="0" applyFont="1" applyFill="1" applyBorder="1" applyAlignment="1" applyProtection="1">
      <alignment horizontal="left" vertical="center"/>
    </xf>
    <xf numFmtId="0" fontId="15" fillId="2" borderId="12" xfId="0" applyFont="1" applyFill="1" applyBorder="1" applyAlignment="1" applyProtection="1">
      <alignment horizontal="left" vertical="center"/>
    </xf>
    <xf numFmtId="0" fontId="15" fillId="2" borderId="12" xfId="0" applyFont="1" applyFill="1" applyBorder="1" applyAlignment="1" applyProtection="1">
      <alignment vertical="center"/>
    </xf>
    <xf numFmtId="0" fontId="15" fillId="2" borderId="13" xfId="0" applyFont="1" applyFill="1" applyBorder="1" applyAlignment="1" applyProtection="1">
      <alignment vertical="center"/>
    </xf>
    <xf numFmtId="0" fontId="2" fillId="2" borderId="6" xfId="0" applyFont="1" applyFill="1" applyBorder="1" applyAlignment="1" applyProtection="1">
      <alignment vertical="center"/>
    </xf>
    <xf numFmtId="0" fontId="2" fillId="2" borderId="9" xfId="0" applyFont="1" applyFill="1" applyBorder="1" applyAlignment="1" applyProtection="1">
      <alignment vertical="center"/>
    </xf>
    <xf numFmtId="0" fontId="15" fillId="0" borderId="0" xfId="0" applyFont="1" applyFill="1" applyBorder="1" applyAlignment="1" applyProtection="1">
      <alignment vertical="center"/>
    </xf>
    <xf numFmtId="0" fontId="16" fillId="2" borderId="0" xfId="0" applyFont="1" applyFill="1" applyBorder="1" applyAlignment="1" applyProtection="1">
      <alignment vertical="center"/>
    </xf>
    <xf numFmtId="0" fontId="16" fillId="2" borderId="1" xfId="0" applyFont="1" applyFill="1" applyBorder="1" applyAlignment="1" applyProtection="1">
      <alignment vertical="center"/>
    </xf>
    <xf numFmtId="0" fontId="31" fillId="2" borderId="1" xfId="0" applyFont="1" applyFill="1" applyBorder="1" applyAlignment="1" applyProtection="1">
      <alignment vertical="center"/>
    </xf>
    <xf numFmtId="164" fontId="31" fillId="2" borderId="4" xfId="0" applyNumberFormat="1" applyFont="1" applyFill="1" applyBorder="1" applyAlignment="1" applyProtection="1">
      <alignment horizontal="center" vertical="center"/>
    </xf>
    <xf numFmtId="0" fontId="16" fillId="2" borderId="6" xfId="0" applyFont="1" applyFill="1" applyBorder="1" applyAlignment="1" applyProtection="1">
      <alignment horizontal="right" vertical="center"/>
    </xf>
    <xf numFmtId="164" fontId="16" fillId="2" borderId="6" xfId="0" applyNumberFormat="1" applyFont="1" applyFill="1" applyBorder="1" applyAlignment="1" applyProtection="1">
      <alignment horizontal="center" vertical="center"/>
    </xf>
    <xf numFmtId="0" fontId="16" fillId="2" borderId="0" xfId="0" applyFont="1" applyFill="1" applyBorder="1" applyAlignment="1" applyProtection="1">
      <alignment horizontal="right" vertical="center"/>
    </xf>
    <xf numFmtId="164" fontId="16" fillId="2" borderId="0" xfId="0" applyNumberFormat="1" applyFont="1" applyFill="1" applyBorder="1" applyAlignment="1" applyProtection="1">
      <alignment horizontal="center" vertical="center"/>
    </xf>
    <xf numFmtId="0" fontId="16" fillId="2" borderId="1" xfId="0" applyFont="1" applyFill="1" applyBorder="1" applyAlignment="1" applyProtection="1">
      <alignment horizontal="right" vertical="center"/>
    </xf>
    <xf numFmtId="164" fontId="16" fillId="2" borderId="1" xfId="0" applyNumberFormat="1" applyFont="1" applyFill="1" applyBorder="1" applyAlignment="1" applyProtection="1">
      <alignment horizontal="center" vertical="center"/>
    </xf>
    <xf numFmtId="165" fontId="31" fillId="2" borderId="6" xfId="0" applyNumberFormat="1" applyFont="1" applyFill="1" applyBorder="1" applyAlignment="1" applyProtection="1">
      <alignment horizontal="left" vertical="center"/>
    </xf>
    <xf numFmtId="165" fontId="16" fillId="2" borderId="6" xfId="0" applyNumberFormat="1" applyFont="1" applyFill="1" applyBorder="1" applyAlignment="1" applyProtection="1">
      <alignment horizontal="center" vertical="center"/>
    </xf>
    <xf numFmtId="165" fontId="31" fillId="2" borderId="0" xfId="0" applyNumberFormat="1" applyFont="1" applyFill="1" applyBorder="1" applyAlignment="1" applyProtection="1">
      <alignment horizontal="left" vertical="center"/>
    </xf>
    <xf numFmtId="165" fontId="16" fillId="2" borderId="0" xfId="0" applyNumberFormat="1" applyFont="1" applyFill="1" applyBorder="1" applyAlignment="1" applyProtection="1">
      <alignment horizontal="center" vertical="center"/>
    </xf>
    <xf numFmtId="0" fontId="16" fillId="2" borderId="13" xfId="0" applyFont="1" applyFill="1" applyBorder="1" applyAlignment="1" applyProtection="1">
      <alignment vertical="center"/>
    </xf>
    <xf numFmtId="164" fontId="34" fillId="2" borderId="13" xfId="0" applyNumberFormat="1" applyFont="1" applyFill="1" applyBorder="1" applyAlignment="1" applyProtection="1">
      <alignment horizontal="right" vertical="center"/>
    </xf>
    <xf numFmtId="164" fontId="34" fillId="2" borderId="12" xfId="0" applyNumberFormat="1" applyFont="1" applyFill="1" applyBorder="1" applyAlignment="1" applyProtection="1">
      <alignment horizontal="right" vertical="center"/>
    </xf>
    <xf numFmtId="165" fontId="34" fillId="2" borderId="13" xfId="0" applyNumberFormat="1" applyFont="1" applyFill="1" applyBorder="1" applyAlignment="1" applyProtection="1">
      <alignment horizontal="right" vertical="center"/>
    </xf>
    <xf numFmtId="165" fontId="34" fillId="2" borderId="12" xfId="0" applyNumberFormat="1" applyFont="1" applyFill="1" applyBorder="1" applyAlignment="1" applyProtection="1">
      <alignment horizontal="right" vertical="center"/>
    </xf>
    <xf numFmtId="2" fontId="34" fillId="2" borderId="13" xfId="0" applyNumberFormat="1" applyFont="1" applyFill="1" applyBorder="1" applyAlignment="1" applyProtection="1">
      <alignment horizontal="right" vertical="center"/>
    </xf>
    <xf numFmtId="2" fontId="34" fillId="2" borderId="12" xfId="0" applyNumberFormat="1" applyFont="1" applyFill="1" applyBorder="1" applyAlignment="1" applyProtection="1">
      <alignment horizontal="right" vertical="center"/>
    </xf>
    <xf numFmtId="0" fontId="16" fillId="2" borderId="6" xfId="0" applyFont="1" applyFill="1" applyBorder="1" applyAlignment="1" applyProtection="1">
      <alignment vertical="center"/>
    </xf>
    <xf numFmtId="2" fontId="45" fillId="2" borderId="0" xfId="0" applyNumberFormat="1" applyFont="1" applyFill="1" applyBorder="1" applyAlignment="1" applyProtection="1">
      <alignment vertical="center" wrapText="1"/>
    </xf>
    <xf numFmtId="0" fontId="5" fillId="2" borderId="0" xfId="3" applyFont="1" applyFill="1" applyBorder="1" applyAlignment="1" applyProtection="1">
      <alignment horizontal="center" vertical="center"/>
      <protection locked="0"/>
    </xf>
    <xf numFmtId="0" fontId="37" fillId="2" borderId="0" xfId="0" applyFont="1" applyFill="1" applyAlignment="1" applyProtection="1">
      <alignment vertical="center"/>
    </xf>
    <xf numFmtId="14" fontId="8" fillId="2" borderId="0" xfId="3" applyNumberFormat="1" applyFont="1" applyFill="1" applyBorder="1" applyAlignment="1" applyProtection="1">
      <alignment horizontal="left" vertical="center" wrapText="1"/>
    </xf>
    <xf numFmtId="0" fontId="8" fillId="2" borderId="0" xfId="3" applyFont="1" applyFill="1" applyBorder="1" applyAlignment="1" applyProtection="1">
      <alignment horizontal="left" vertical="center" wrapText="1"/>
    </xf>
    <xf numFmtId="0" fontId="25" fillId="2" borderId="5" xfId="3" applyFont="1" applyFill="1" applyBorder="1" applyAlignment="1" applyProtection="1">
      <alignment horizontal="center" vertical="center"/>
    </xf>
    <xf numFmtId="2" fontId="25" fillId="2" borderId="5" xfId="3" applyNumberFormat="1" applyFont="1" applyFill="1" applyBorder="1" applyAlignment="1" applyProtection="1">
      <alignment horizontal="center" vertical="center"/>
    </xf>
    <xf numFmtId="0" fontId="25" fillId="2" borderId="5" xfId="3" applyFont="1" applyFill="1" applyBorder="1" applyAlignment="1" applyProtection="1">
      <alignment horizontal="center" vertical="center"/>
      <protection locked="0"/>
    </xf>
    <xf numFmtId="164" fontId="30" fillId="2" borderId="5" xfId="4" applyNumberFormat="1" applyFont="1" applyFill="1" applyBorder="1" applyAlignment="1" applyProtection="1">
      <alignment horizontal="center" vertical="center"/>
    </xf>
    <xf numFmtId="0" fontId="25" fillId="2" borderId="2" xfId="3" applyFont="1" applyFill="1" applyBorder="1" applyAlignment="1" applyProtection="1">
      <alignment horizontal="center" vertical="center"/>
      <protection locked="0"/>
    </xf>
    <xf numFmtId="0" fontId="11" fillId="2" borderId="0" xfId="3" applyFont="1" applyFill="1" applyBorder="1" applyAlignment="1" applyProtection="1">
      <alignment horizontal="center" vertical="center"/>
    </xf>
    <xf numFmtId="0" fontId="25" fillId="2" borderId="0" xfId="3" applyFont="1" applyFill="1" applyBorder="1" applyAlignment="1" applyProtection="1">
      <alignment horizontal="center" vertical="center" wrapText="1"/>
    </xf>
    <xf numFmtId="164" fontId="30" fillId="2" borderId="2" xfId="4" applyNumberFormat="1" applyFont="1" applyFill="1" applyBorder="1" applyAlignment="1" applyProtection="1">
      <alignment horizontal="center" vertical="center"/>
      <protection locked="0"/>
    </xf>
    <xf numFmtId="0" fontId="30" fillId="2" borderId="4" xfId="4" applyFont="1" applyFill="1" applyBorder="1" applyAlignment="1" applyProtection="1">
      <alignment vertical="center"/>
    </xf>
    <xf numFmtId="0" fontId="37" fillId="2" borderId="0" xfId="0" applyFont="1" applyFill="1" applyBorder="1" applyAlignment="1" applyProtection="1">
      <alignment vertical="center"/>
    </xf>
    <xf numFmtId="164" fontId="30" fillId="2" borderId="2" xfId="4" applyNumberFormat="1" applyFont="1" applyFill="1" applyBorder="1" applyAlignment="1" applyProtection="1">
      <alignment horizontal="center" vertical="center"/>
    </xf>
    <xf numFmtId="0" fontId="35" fillId="2" borderId="0" xfId="0" applyFont="1" applyFill="1" applyAlignment="1" applyProtection="1">
      <alignment vertical="center"/>
    </xf>
    <xf numFmtId="0" fontId="36" fillId="2" borderId="0" xfId="3" applyFont="1" applyFill="1" applyAlignment="1" applyProtection="1">
      <alignment vertical="center"/>
    </xf>
    <xf numFmtId="0" fontId="36" fillId="2" borderId="0" xfId="3" applyFont="1" applyFill="1" applyBorder="1" applyAlignment="1" applyProtection="1">
      <alignment vertical="center"/>
    </xf>
    <xf numFmtId="0" fontId="12" fillId="2" borderId="0" xfId="4" applyFont="1" applyFill="1" applyBorder="1" applyProtection="1"/>
    <xf numFmtId="0" fontId="12" fillId="2" borderId="0" xfId="4" applyFont="1" applyFill="1" applyProtection="1"/>
    <xf numFmtId="0" fontId="31" fillId="2" borderId="4" xfId="0" applyFont="1" applyFill="1" applyBorder="1" applyAlignment="1" applyProtection="1">
      <alignment horizontal="right" vertical="center"/>
    </xf>
    <xf numFmtId="0" fontId="3" fillId="0" borderId="5" xfId="0" quotePrefix="1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0" borderId="12" xfId="0" applyFont="1" applyBorder="1" applyAlignment="1" applyProtection="1">
      <alignment horizontal="left" vertical="center"/>
    </xf>
    <xf numFmtId="0" fontId="3" fillId="0" borderId="12" xfId="0" applyFont="1" applyBorder="1" applyAlignment="1" applyProtection="1">
      <alignment vertical="center"/>
    </xf>
    <xf numFmtId="0" fontId="1" fillId="4" borderId="2" xfId="11" applyFont="1" applyFill="1" applyBorder="1" applyAlignment="1" applyProtection="1">
      <alignment horizontal="center" vertical="center" wrapText="1"/>
    </xf>
    <xf numFmtId="0" fontId="1" fillId="4" borderId="4" xfId="11" applyFont="1" applyFill="1" applyBorder="1" applyAlignment="1" applyProtection="1">
      <alignment horizontal="center" vertical="center" wrapText="1"/>
    </xf>
    <xf numFmtId="0" fontId="1" fillId="4" borderId="3" xfId="11" applyFont="1" applyFill="1" applyBorder="1" applyAlignment="1" applyProtection="1">
      <alignment horizontal="center" vertical="center" wrapText="1"/>
    </xf>
    <xf numFmtId="0" fontId="1" fillId="0" borderId="2" xfId="11" applyFont="1" applyBorder="1" applyAlignment="1" applyProtection="1">
      <alignment horizontal="center" vertical="center" wrapText="1"/>
    </xf>
    <xf numFmtId="0" fontId="1" fillId="0" borderId="3" xfId="11" applyFont="1" applyBorder="1" applyAlignment="1" applyProtection="1">
      <alignment horizontal="center" vertical="center" wrapText="1"/>
    </xf>
    <xf numFmtId="0" fontId="1" fillId="0" borderId="4" xfId="11" applyFont="1" applyBorder="1" applyAlignment="1" applyProtection="1">
      <alignment horizontal="center" vertical="center" wrapText="1"/>
    </xf>
    <xf numFmtId="0" fontId="42" fillId="0" borderId="2" xfId="11" applyFont="1" applyFill="1" applyBorder="1" applyAlignment="1" applyProtection="1">
      <alignment horizontal="center" vertical="center" wrapText="1"/>
    </xf>
    <xf numFmtId="0" fontId="42" fillId="0" borderId="4" xfId="11" applyFont="1" applyFill="1" applyBorder="1" applyAlignment="1" applyProtection="1">
      <alignment horizontal="center" vertical="center" wrapText="1"/>
    </xf>
    <xf numFmtId="0" fontId="42" fillId="0" borderId="3" xfId="11" applyFont="1" applyFill="1" applyBorder="1" applyAlignment="1" applyProtection="1">
      <alignment horizontal="center" vertical="center" wrapText="1"/>
    </xf>
    <xf numFmtId="0" fontId="42" fillId="4" borderId="2" xfId="11" applyFont="1" applyFill="1" applyBorder="1" applyAlignment="1" applyProtection="1">
      <alignment horizontal="center" vertical="center" wrapText="1"/>
    </xf>
    <xf numFmtId="0" fontId="42" fillId="4" borderId="3" xfId="11" applyFont="1" applyFill="1" applyBorder="1" applyAlignment="1" applyProtection="1">
      <alignment horizontal="center" vertical="center" wrapText="1"/>
    </xf>
    <xf numFmtId="0" fontId="41" fillId="0" borderId="3" xfId="11" applyFill="1" applyBorder="1" applyAlignment="1" applyProtection="1">
      <alignment horizontal="center" vertical="center" wrapText="1"/>
    </xf>
    <xf numFmtId="49" fontId="42" fillId="4" borderId="2" xfId="11" applyNumberFormat="1" applyFont="1" applyFill="1" applyBorder="1" applyAlignment="1" applyProtection="1">
      <alignment horizontal="center" vertical="center" wrapText="1"/>
    </xf>
    <xf numFmtId="49" fontId="41" fillId="4" borderId="3" xfId="11" applyNumberFormat="1" applyFill="1" applyBorder="1" applyAlignment="1" applyProtection="1">
      <alignment horizontal="center" vertical="center" wrapText="1"/>
    </xf>
    <xf numFmtId="49" fontId="42" fillId="4" borderId="4" xfId="11" applyNumberFormat="1" applyFont="1" applyFill="1" applyBorder="1" applyAlignment="1" applyProtection="1">
      <alignment horizontal="center" vertical="center" wrapText="1"/>
    </xf>
    <xf numFmtId="49" fontId="42" fillId="4" borderId="3" xfId="11" applyNumberFormat="1" applyFont="1" applyFill="1" applyBorder="1" applyAlignment="1" applyProtection="1">
      <alignment horizontal="center" vertical="center" wrapText="1"/>
    </xf>
    <xf numFmtId="0" fontId="42" fillId="4" borderId="4" xfId="11" applyFont="1" applyFill="1" applyBorder="1" applyAlignment="1" applyProtection="1">
      <alignment horizontal="center" vertical="center" wrapText="1"/>
    </xf>
    <xf numFmtId="0" fontId="42" fillId="6" borderId="2" xfId="11" applyFont="1" applyFill="1" applyBorder="1" applyAlignment="1" applyProtection="1">
      <alignment horizontal="center" vertical="center" wrapText="1"/>
    </xf>
    <xf numFmtId="0" fontId="42" fillId="6" borderId="4" xfId="11" applyFont="1" applyFill="1" applyBorder="1" applyAlignment="1" applyProtection="1">
      <alignment horizontal="center" vertical="center" wrapText="1"/>
    </xf>
    <xf numFmtId="0" fontId="42" fillId="6" borderId="3" xfId="11" applyFont="1" applyFill="1" applyBorder="1" applyAlignment="1" applyProtection="1">
      <alignment horizontal="center" vertical="center" wrapText="1"/>
    </xf>
    <xf numFmtId="0" fontId="41" fillId="0" borderId="2" xfId="11" applyFill="1" applyBorder="1" applyAlignment="1" applyProtection="1">
      <alignment horizontal="center" vertical="center" wrapText="1"/>
    </xf>
    <xf numFmtId="0" fontId="41" fillId="0" borderId="4" xfId="11" applyFill="1" applyBorder="1" applyAlignment="1" applyProtection="1">
      <alignment horizontal="center" vertical="center" wrapText="1"/>
    </xf>
    <xf numFmtId="0" fontId="40" fillId="2" borderId="7" xfId="11" applyFont="1" applyFill="1" applyBorder="1" applyAlignment="1" applyProtection="1">
      <alignment horizontal="center" vertical="center" wrapText="1"/>
    </xf>
    <xf numFmtId="0" fontId="40" fillId="2" borderId="9" xfId="11" applyFont="1" applyFill="1" applyBorder="1" applyAlignment="1" applyProtection="1">
      <alignment horizontal="center" vertical="center" wrapText="1"/>
    </xf>
    <xf numFmtId="0" fontId="40" fillId="2" borderId="13" xfId="11" applyFont="1" applyFill="1" applyBorder="1" applyAlignment="1" applyProtection="1">
      <alignment horizontal="center" vertical="center" wrapText="1"/>
    </xf>
    <xf numFmtId="0" fontId="40" fillId="2" borderId="12" xfId="11" applyFont="1" applyFill="1" applyBorder="1" applyAlignment="1" applyProtection="1">
      <alignment horizontal="center" vertical="center" wrapText="1"/>
    </xf>
    <xf numFmtId="0" fontId="40" fillId="2" borderId="8" xfId="11" applyFont="1" applyFill="1" applyBorder="1" applyAlignment="1" applyProtection="1">
      <alignment horizontal="center" vertical="center" wrapText="1"/>
    </xf>
    <xf numFmtId="0" fontId="40" fillId="2" borderId="10" xfId="11" applyFont="1" applyFill="1" applyBorder="1" applyAlignment="1" applyProtection="1">
      <alignment horizontal="center" vertical="center" wrapText="1"/>
    </xf>
    <xf numFmtId="0" fontId="40" fillId="2" borderId="2" xfId="11" applyFont="1" applyFill="1" applyBorder="1" applyAlignment="1" applyProtection="1">
      <alignment horizontal="center" vertical="center" wrapText="1"/>
    </xf>
    <xf numFmtId="0" fontId="40" fillId="2" borderId="4" xfId="11" applyFont="1" applyFill="1" applyBorder="1" applyAlignment="1" applyProtection="1">
      <alignment horizontal="center" vertical="center" wrapText="1"/>
    </xf>
    <xf numFmtId="0" fontId="40" fillId="2" borderId="3" xfId="11" applyFont="1" applyFill="1" applyBorder="1" applyAlignment="1" applyProtection="1">
      <alignment horizontal="center" vertical="center" wrapText="1"/>
    </xf>
    <xf numFmtId="0" fontId="41" fillId="4" borderId="2" xfId="11" applyFill="1" applyBorder="1" applyAlignment="1" applyProtection="1">
      <alignment horizontal="center" vertical="center" wrapText="1"/>
    </xf>
    <xf numFmtId="0" fontId="41" fillId="4" borderId="3" xfId="11" applyFill="1" applyBorder="1" applyAlignment="1" applyProtection="1">
      <alignment horizontal="center" vertical="center" wrapText="1"/>
    </xf>
    <xf numFmtId="0" fontId="43" fillId="2" borderId="14" xfId="11" applyFont="1" applyFill="1" applyBorder="1" applyAlignment="1" applyProtection="1">
      <alignment horizontal="center" vertical="center" textRotation="90" wrapText="1"/>
    </xf>
    <xf numFmtId="0" fontId="43" fillId="2" borderId="15" xfId="11" applyFont="1" applyFill="1" applyBorder="1" applyAlignment="1" applyProtection="1">
      <alignment horizontal="center" vertical="center" textRotation="90" wrapText="1"/>
    </xf>
    <xf numFmtId="0" fontId="43" fillId="2" borderId="11" xfId="11" applyFont="1" applyFill="1" applyBorder="1" applyAlignment="1" applyProtection="1">
      <alignment horizontal="center" vertical="center" textRotation="90" wrapText="1"/>
    </xf>
    <xf numFmtId="0" fontId="43" fillId="4" borderId="5" xfId="11" applyFont="1" applyFill="1" applyBorder="1" applyAlignment="1" applyProtection="1">
      <alignment horizontal="center" vertical="center" wrapText="1"/>
    </xf>
    <xf numFmtId="0" fontId="43" fillId="0" borderId="5" xfId="11" applyFont="1" applyFill="1" applyBorder="1" applyAlignment="1" applyProtection="1">
      <alignment horizontal="center" vertical="center" wrapText="1"/>
    </xf>
    <xf numFmtId="0" fontId="42" fillId="9" borderId="2" xfId="11" applyFont="1" applyFill="1" applyBorder="1" applyAlignment="1" applyProtection="1">
      <alignment horizontal="center" vertical="center" wrapText="1"/>
    </xf>
    <xf numFmtId="0" fontId="42" fillId="9" borderId="4" xfId="11" applyFont="1" applyFill="1" applyBorder="1" applyAlignment="1" applyProtection="1">
      <alignment horizontal="center" vertical="center" wrapText="1"/>
    </xf>
    <xf numFmtId="0" fontId="42" fillId="9" borderId="3" xfId="11" applyFont="1" applyFill="1" applyBorder="1" applyAlignment="1" applyProtection="1">
      <alignment horizontal="center" vertical="center" wrapText="1"/>
    </xf>
    <xf numFmtId="0" fontId="40" fillId="2" borderId="14" xfId="11" applyFont="1" applyFill="1" applyBorder="1" applyAlignment="1" applyProtection="1">
      <alignment horizontal="center" vertical="center" textRotation="90" wrapText="1"/>
    </xf>
    <xf numFmtId="0" fontId="40" fillId="2" borderId="15" xfId="11" applyFont="1" applyFill="1" applyBorder="1" applyAlignment="1" applyProtection="1">
      <alignment horizontal="center" vertical="center" textRotation="90" wrapText="1"/>
    </xf>
    <xf numFmtId="0" fontId="40" fillId="2" borderId="11" xfId="11" applyFont="1" applyFill="1" applyBorder="1" applyAlignment="1" applyProtection="1">
      <alignment horizontal="center" vertical="center" textRotation="90" wrapText="1"/>
    </xf>
    <xf numFmtId="49" fontId="42" fillId="0" borderId="2" xfId="11" applyNumberFormat="1" applyFont="1" applyFill="1" applyBorder="1" applyAlignment="1" applyProtection="1">
      <alignment horizontal="center" vertical="center" wrapText="1"/>
    </xf>
    <xf numFmtId="49" fontId="42" fillId="0" borderId="4" xfId="11" applyNumberFormat="1" applyFont="1" applyFill="1" applyBorder="1" applyAlignment="1" applyProtection="1">
      <alignment horizontal="center" vertical="center" wrapText="1"/>
    </xf>
    <xf numFmtId="49" fontId="42" fillId="0" borderId="3" xfId="11" applyNumberFormat="1" applyFont="1" applyFill="1" applyBorder="1" applyAlignment="1" applyProtection="1">
      <alignment horizontal="center" vertical="center" wrapText="1"/>
    </xf>
    <xf numFmtId="0" fontId="41" fillId="4" borderId="4" xfId="11" applyFill="1" applyBorder="1" applyAlignment="1" applyProtection="1">
      <alignment horizontal="center" vertical="center" wrapText="1"/>
    </xf>
    <xf numFmtId="0" fontId="43" fillId="6" borderId="2" xfId="11" applyFont="1" applyFill="1" applyBorder="1" applyAlignment="1" applyProtection="1">
      <alignment horizontal="center" vertical="center" wrapText="1"/>
    </xf>
    <xf numFmtId="0" fontId="43" fillId="6" borderId="4" xfId="11" applyFont="1" applyFill="1" applyBorder="1" applyAlignment="1" applyProtection="1">
      <alignment horizontal="center" vertical="center" wrapText="1"/>
    </xf>
    <xf numFmtId="0" fontId="43" fillId="6" borderId="1" xfId="11" applyFont="1" applyFill="1" applyBorder="1" applyAlignment="1" applyProtection="1">
      <alignment horizontal="center" vertical="center" wrapText="1"/>
    </xf>
    <xf numFmtId="0" fontId="43" fillId="6" borderId="10" xfId="11" applyFont="1" applyFill="1" applyBorder="1" applyAlignment="1" applyProtection="1">
      <alignment horizontal="center" vertical="center" wrapText="1"/>
    </xf>
    <xf numFmtId="0" fontId="40" fillId="2" borderId="14" xfId="11" applyFont="1" applyFill="1" applyBorder="1" applyAlignment="1" applyProtection="1">
      <alignment horizontal="left" vertical="center" wrapText="1"/>
    </xf>
    <xf numFmtId="0" fontId="40" fillId="2" borderId="11" xfId="11" applyFont="1" applyFill="1" applyBorder="1" applyAlignment="1" applyProtection="1">
      <alignment horizontal="left" vertical="center" wrapText="1"/>
    </xf>
    <xf numFmtId="0" fontId="1" fillId="6" borderId="7" xfId="11" applyFont="1" applyFill="1" applyBorder="1" applyAlignment="1" applyProtection="1">
      <alignment horizontal="center" vertical="center" wrapText="1"/>
    </xf>
    <xf numFmtId="0" fontId="1" fillId="6" borderId="6" xfId="11" applyFont="1" applyFill="1" applyBorder="1" applyAlignment="1" applyProtection="1">
      <alignment horizontal="center" vertical="center" wrapText="1"/>
    </xf>
    <xf numFmtId="0" fontId="1" fillId="6" borderId="13" xfId="11" applyFont="1" applyFill="1" applyBorder="1" applyAlignment="1" applyProtection="1">
      <alignment horizontal="center" vertical="center" wrapText="1"/>
    </xf>
    <xf numFmtId="0" fontId="1" fillId="6" borderId="0" xfId="11" applyFont="1" applyFill="1" applyBorder="1" applyAlignment="1" applyProtection="1">
      <alignment horizontal="center" vertical="center" wrapText="1"/>
    </xf>
    <xf numFmtId="0" fontId="40" fillId="2" borderId="5" xfId="0" applyFont="1" applyFill="1" applyBorder="1" applyAlignment="1">
      <alignment horizontal="center" vertical="center" wrapText="1"/>
    </xf>
    <xf numFmtId="0" fontId="41" fillId="9" borderId="2" xfId="11" applyFill="1" applyBorder="1" applyAlignment="1" applyProtection="1">
      <alignment horizontal="center" vertical="center" wrapText="1"/>
    </xf>
    <xf numFmtId="0" fontId="41" fillId="9" borderId="4" xfId="11" applyFill="1" applyBorder="1" applyAlignment="1" applyProtection="1">
      <alignment horizontal="center" vertical="center" wrapText="1"/>
    </xf>
    <xf numFmtId="0" fontId="41" fillId="9" borderId="3" xfId="11" applyFill="1" applyBorder="1" applyAlignment="1" applyProtection="1">
      <alignment horizontal="center" vertical="center" wrapText="1"/>
    </xf>
    <xf numFmtId="0" fontId="41" fillId="6" borderId="2" xfId="11" applyFill="1" applyBorder="1" applyAlignment="1" applyProtection="1">
      <alignment horizontal="center" vertical="center" wrapText="1"/>
    </xf>
    <xf numFmtId="0" fontId="41" fillId="6" borderId="4" xfId="11" applyFill="1" applyBorder="1" applyAlignment="1" applyProtection="1">
      <alignment horizontal="center" vertical="center" wrapText="1"/>
    </xf>
    <xf numFmtId="0" fontId="41" fillId="6" borderId="3" xfId="11" applyFill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left" vertical="center"/>
    </xf>
    <xf numFmtId="0" fontId="2" fillId="0" borderId="4" xfId="0" applyFont="1" applyBorder="1" applyAlignment="1" applyProtection="1">
      <alignment horizontal="left" vertical="center"/>
    </xf>
    <xf numFmtId="0" fontId="2" fillId="0" borderId="3" xfId="0" applyFont="1" applyBorder="1" applyAlignment="1" applyProtection="1">
      <alignment horizontal="left" vertical="center"/>
    </xf>
    <xf numFmtId="164" fontId="7" fillId="0" borderId="5" xfId="3" applyNumberFormat="1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left" vertical="center"/>
    </xf>
    <xf numFmtId="0" fontId="2" fillId="0" borderId="7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 wrapText="1"/>
    </xf>
    <xf numFmtId="0" fontId="3" fillId="0" borderId="8" xfId="0" applyFont="1" applyBorder="1" applyAlignment="1" applyProtection="1">
      <alignment horizontal="center" vertical="center" wrapText="1"/>
    </xf>
    <xf numFmtId="0" fontId="3" fillId="0" borderId="10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left" vertical="center"/>
    </xf>
    <xf numFmtId="0" fontId="6" fillId="0" borderId="4" xfId="0" applyFont="1" applyBorder="1" applyAlignment="1" applyProtection="1">
      <alignment horizontal="left" vertical="center"/>
    </xf>
    <xf numFmtId="0" fontId="6" fillId="0" borderId="3" xfId="0" applyFont="1" applyBorder="1" applyAlignment="1" applyProtection="1">
      <alignment horizontal="left" vertical="center"/>
    </xf>
    <xf numFmtId="0" fontId="2" fillId="0" borderId="7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</xf>
    <xf numFmtId="0" fontId="6" fillId="0" borderId="0" xfId="0" applyFont="1" applyBorder="1" applyAlignment="1" applyProtection="1">
      <alignment horizontal="left" vertical="center"/>
    </xf>
    <xf numFmtId="0" fontId="29" fillId="0" borderId="2" xfId="0" applyFont="1" applyBorder="1" applyAlignment="1" applyProtection="1">
      <alignment horizontal="center" vertical="center" wrapText="1"/>
    </xf>
    <xf numFmtId="0" fontId="29" fillId="0" borderId="4" xfId="0" applyFont="1" applyBorder="1" applyAlignment="1" applyProtection="1">
      <alignment horizontal="center" vertical="center" wrapText="1"/>
    </xf>
    <xf numFmtId="0" fontId="29" fillId="0" borderId="3" xfId="0" applyFont="1" applyBorder="1" applyAlignment="1" applyProtection="1">
      <alignment horizontal="center" vertical="center" wrapText="1"/>
    </xf>
    <xf numFmtId="0" fontId="25" fillId="2" borderId="5" xfId="3" applyFont="1" applyFill="1" applyBorder="1" applyAlignment="1" applyProtection="1">
      <alignment horizontal="center" vertical="center"/>
    </xf>
    <xf numFmtId="0" fontId="36" fillId="2" borderId="13" xfId="3" applyFont="1" applyFill="1" applyBorder="1" applyAlignment="1" applyProtection="1">
      <alignment horizontal="center" vertical="center"/>
    </xf>
    <xf numFmtId="0" fontId="36" fillId="2" borderId="0" xfId="3" applyFont="1" applyFill="1" applyBorder="1" applyAlignment="1" applyProtection="1">
      <alignment horizontal="center" vertical="center"/>
    </xf>
    <xf numFmtId="49" fontId="25" fillId="2" borderId="5" xfId="3" applyNumberFormat="1" applyFont="1" applyFill="1" applyBorder="1" applyAlignment="1" applyProtection="1">
      <alignment horizontal="center" vertical="center"/>
    </xf>
    <xf numFmtId="164" fontId="28" fillId="2" borderId="15" xfId="4" applyNumberFormat="1" applyFont="1" applyFill="1" applyBorder="1" applyAlignment="1" applyProtection="1">
      <alignment horizontal="center" vertical="center"/>
    </xf>
    <xf numFmtId="164" fontId="28" fillId="2" borderId="11" xfId="4" applyNumberFormat="1" applyFont="1" applyFill="1" applyBorder="1" applyAlignment="1" applyProtection="1">
      <alignment horizontal="center" vertical="center"/>
    </xf>
    <xf numFmtId="0" fontId="28" fillId="2" borderId="5" xfId="3" applyFont="1" applyFill="1" applyBorder="1" applyAlignment="1" applyProtection="1">
      <alignment horizontal="center" vertical="center"/>
    </xf>
    <xf numFmtId="0" fontId="9" fillId="2" borderId="5" xfId="3" applyFont="1" applyFill="1" applyBorder="1" applyAlignment="1" applyProtection="1">
      <alignment horizontal="center" vertical="center" wrapText="1"/>
    </xf>
    <xf numFmtId="0" fontId="25" fillId="2" borderId="5" xfId="3" applyFont="1" applyFill="1" applyBorder="1" applyAlignment="1" applyProtection="1">
      <alignment horizontal="center" vertical="center" wrapText="1"/>
    </xf>
    <xf numFmtId="164" fontId="12" fillId="0" borderId="14" xfId="3" applyNumberFormat="1" applyFont="1" applyBorder="1" applyAlignment="1" applyProtection="1">
      <alignment horizontal="center" vertical="center"/>
    </xf>
    <xf numFmtId="164" fontId="17" fillId="0" borderId="14" xfId="3" applyNumberFormat="1" applyFont="1" applyBorder="1" applyAlignment="1" applyProtection="1">
      <alignment horizontal="center" vertical="center"/>
    </xf>
    <xf numFmtId="165" fontId="15" fillId="4" borderId="2" xfId="2" applyNumberFormat="1" applyFont="1" applyFill="1" applyBorder="1" applyAlignment="1" applyProtection="1">
      <alignment horizontal="center" vertical="center"/>
    </xf>
    <xf numFmtId="165" fontId="15" fillId="4" borderId="4" xfId="2" applyNumberFormat="1" applyFont="1" applyFill="1" applyBorder="1" applyAlignment="1" applyProtection="1">
      <alignment horizontal="center" vertical="center"/>
    </xf>
    <xf numFmtId="165" fontId="15" fillId="4" borderId="3" xfId="2" applyNumberFormat="1" applyFont="1" applyFill="1" applyBorder="1" applyAlignment="1" applyProtection="1">
      <alignment horizontal="center" vertical="center"/>
    </xf>
    <xf numFmtId="0" fontId="15" fillId="4" borderId="2" xfId="3" applyFont="1" applyFill="1" applyBorder="1" applyAlignment="1" applyProtection="1">
      <alignment horizontal="center" vertical="center"/>
    </xf>
    <xf numFmtId="0" fontId="15" fillId="4" borderId="4" xfId="3" applyFont="1" applyFill="1" applyBorder="1" applyAlignment="1" applyProtection="1">
      <alignment horizontal="center" vertical="center"/>
    </xf>
    <xf numFmtId="0" fontId="15" fillId="4" borderId="3" xfId="3" applyFont="1" applyFill="1" applyBorder="1" applyAlignment="1" applyProtection="1">
      <alignment horizontal="center" vertical="center"/>
    </xf>
    <xf numFmtId="49" fontId="14" fillId="4" borderId="14" xfId="3" applyNumberFormat="1" applyFont="1" applyFill="1" applyBorder="1" applyAlignment="1" applyProtection="1">
      <alignment horizontal="center" vertical="center"/>
    </xf>
    <xf numFmtId="164" fontId="14" fillId="4" borderId="14" xfId="3" applyNumberFormat="1" applyFont="1" applyFill="1" applyBorder="1" applyAlignment="1" applyProtection="1">
      <alignment horizontal="center" vertical="center"/>
    </xf>
    <xf numFmtId="164" fontId="11" fillId="0" borderId="5" xfId="3" applyNumberFormat="1" applyFont="1" applyBorder="1" applyAlignment="1" applyProtection="1">
      <alignment horizontal="center" vertical="center"/>
    </xf>
    <xf numFmtId="164" fontId="11" fillId="2" borderId="5" xfId="3" applyNumberFormat="1" applyFont="1" applyFill="1" applyBorder="1" applyAlignment="1" applyProtection="1">
      <alignment horizontal="center" vertical="center"/>
    </xf>
    <xf numFmtId="0" fontId="25" fillId="2" borderId="15" xfId="3" applyFont="1" applyFill="1" applyBorder="1" applyAlignment="1" applyProtection="1">
      <alignment horizontal="center" vertical="center"/>
    </xf>
    <xf numFmtId="49" fontId="14" fillId="4" borderId="5" xfId="3" applyNumberFormat="1" applyFont="1" applyFill="1" applyBorder="1" applyAlignment="1" applyProtection="1">
      <alignment horizontal="center" vertical="center"/>
    </xf>
    <xf numFmtId="164" fontId="14" fillId="4" borderId="5" xfId="3" applyNumberFormat="1" applyFont="1" applyFill="1" applyBorder="1" applyAlignment="1" applyProtection="1">
      <alignment horizontal="center" vertical="center"/>
    </xf>
    <xf numFmtId="164" fontId="12" fillId="0" borderId="5" xfId="3" applyNumberFormat="1" applyFont="1" applyBorder="1" applyAlignment="1" applyProtection="1">
      <alignment horizontal="center" vertical="center"/>
    </xf>
    <xf numFmtId="164" fontId="17" fillId="0" borderId="5" xfId="3" applyNumberFormat="1" applyFont="1" applyBorder="1" applyAlignment="1" applyProtection="1">
      <alignment horizontal="center" vertical="center"/>
    </xf>
    <xf numFmtId="2" fontId="15" fillId="4" borderId="2" xfId="2" applyNumberFormat="1" applyFont="1" applyFill="1" applyBorder="1" applyAlignment="1" applyProtection="1">
      <alignment horizontal="center" vertical="center"/>
    </xf>
    <xf numFmtId="2" fontId="15" fillId="4" borderId="4" xfId="2" applyNumberFormat="1" applyFont="1" applyFill="1" applyBorder="1" applyAlignment="1" applyProtection="1">
      <alignment horizontal="center" vertical="center"/>
    </xf>
    <xf numFmtId="2" fontId="15" fillId="4" borderId="3" xfId="2" applyNumberFormat="1" applyFont="1" applyFill="1" applyBorder="1" applyAlignment="1" applyProtection="1">
      <alignment horizontal="center" vertical="center"/>
    </xf>
    <xf numFmtId="164" fontId="15" fillId="4" borderId="2" xfId="2" applyNumberFormat="1" applyFont="1" applyFill="1" applyBorder="1" applyAlignment="1" applyProtection="1">
      <alignment horizontal="center" vertical="center"/>
    </xf>
    <xf numFmtId="164" fontId="15" fillId="4" borderId="4" xfId="2" applyNumberFormat="1" applyFont="1" applyFill="1" applyBorder="1" applyAlignment="1" applyProtection="1">
      <alignment horizontal="center" vertical="center"/>
    </xf>
    <xf numFmtId="164" fontId="15" fillId="4" borderId="3" xfId="2" applyNumberFormat="1" applyFont="1" applyFill="1" applyBorder="1" applyAlignment="1" applyProtection="1">
      <alignment horizontal="center" vertical="center"/>
    </xf>
    <xf numFmtId="0" fontId="13" fillId="0" borderId="11" xfId="3" applyFont="1" applyFill="1" applyBorder="1" applyAlignment="1" applyProtection="1">
      <alignment horizontal="center" vertical="center"/>
      <protection locked="0"/>
    </xf>
    <xf numFmtId="0" fontId="28" fillId="4" borderId="5" xfId="3" applyFont="1" applyFill="1" applyBorder="1" applyAlignment="1" applyProtection="1">
      <alignment horizontal="center" vertical="center" wrapText="1"/>
    </xf>
    <xf numFmtId="164" fontId="15" fillId="4" borderId="5" xfId="2" applyNumberFormat="1" applyFont="1" applyFill="1" applyBorder="1" applyAlignment="1" applyProtection="1">
      <alignment horizontal="center" vertical="center"/>
    </xf>
    <xf numFmtId="0" fontId="25" fillId="4" borderId="5" xfId="3" applyNumberFormat="1" applyFont="1" applyFill="1" applyBorder="1" applyAlignment="1" applyProtection="1">
      <alignment horizontal="center" vertical="center"/>
    </xf>
    <xf numFmtId="0" fontId="38" fillId="2" borderId="7" xfId="0" applyFont="1" applyFill="1" applyBorder="1" applyAlignment="1" applyProtection="1">
      <alignment horizontal="center" vertical="center"/>
    </xf>
    <xf numFmtId="0" fontId="38" fillId="2" borderId="6" xfId="0" applyFont="1" applyFill="1" applyBorder="1" applyAlignment="1" applyProtection="1">
      <alignment horizontal="center" vertical="center"/>
    </xf>
    <xf numFmtId="0" fontId="38" fillId="2" borderId="13" xfId="0" applyFont="1" applyFill="1" applyBorder="1" applyAlignment="1" applyProtection="1">
      <alignment horizontal="center" vertical="center"/>
    </xf>
    <xf numFmtId="0" fontId="38" fillId="2" borderId="0" xfId="0" applyFont="1" applyFill="1" applyBorder="1" applyAlignment="1" applyProtection="1">
      <alignment horizontal="center" vertical="center"/>
    </xf>
    <xf numFmtId="0" fontId="38" fillId="2" borderId="8" xfId="0" applyFont="1" applyFill="1" applyBorder="1" applyAlignment="1" applyProtection="1">
      <alignment horizontal="center" vertical="center"/>
    </xf>
    <xf numFmtId="0" fontId="38" fillId="2" borderId="1" xfId="0" applyFont="1" applyFill="1" applyBorder="1" applyAlignment="1" applyProtection="1">
      <alignment horizontal="center" vertical="center"/>
    </xf>
    <xf numFmtId="0" fontId="8" fillId="0" borderId="45" xfId="3" applyFont="1" applyBorder="1" applyAlignment="1" applyProtection="1">
      <alignment horizontal="left" vertical="center" wrapText="1"/>
    </xf>
    <xf numFmtId="0" fontId="8" fillId="0" borderId="44" xfId="3" applyFont="1" applyBorder="1" applyAlignment="1" applyProtection="1">
      <alignment horizontal="left" vertical="center" wrapText="1"/>
    </xf>
    <xf numFmtId="0" fontId="25" fillId="2" borderId="14" xfId="3" applyFont="1" applyFill="1" applyBorder="1" applyAlignment="1" applyProtection="1">
      <alignment horizontal="center" vertical="center"/>
    </xf>
    <xf numFmtId="14" fontId="8" fillId="0" borderId="42" xfId="3" applyNumberFormat="1" applyFont="1" applyBorder="1" applyAlignment="1" applyProtection="1">
      <alignment horizontal="left" vertical="center" wrapText="1"/>
    </xf>
    <xf numFmtId="14" fontId="8" fillId="0" borderId="41" xfId="3" applyNumberFormat="1" applyFont="1" applyBorder="1" applyAlignment="1" applyProtection="1">
      <alignment horizontal="left" vertical="center" wrapText="1"/>
    </xf>
    <xf numFmtId="0" fontId="11" fillId="0" borderId="2" xfId="3" applyFont="1" applyFill="1" applyBorder="1" applyAlignment="1" applyProtection="1">
      <alignment horizontal="center" vertical="center"/>
    </xf>
    <xf numFmtId="0" fontId="11" fillId="0" borderId="4" xfId="3" applyFont="1" applyFill="1" applyBorder="1" applyAlignment="1" applyProtection="1">
      <alignment horizontal="center" vertical="center"/>
    </xf>
    <xf numFmtId="0" fontId="11" fillId="0" borderId="3" xfId="3" applyFont="1" applyFill="1" applyBorder="1" applyAlignment="1" applyProtection="1">
      <alignment horizontal="center" vertical="center"/>
    </xf>
    <xf numFmtId="0" fontId="8" fillId="0" borderId="52" xfId="3" applyFont="1" applyBorder="1" applyAlignment="1" applyProtection="1">
      <alignment horizontal="left" vertical="center" wrapText="1"/>
    </xf>
    <xf numFmtId="0" fontId="8" fillId="0" borderId="51" xfId="3" applyFont="1" applyBorder="1" applyAlignment="1" applyProtection="1">
      <alignment horizontal="left" vertical="center" wrapText="1"/>
    </xf>
    <xf numFmtId="49" fontId="15" fillId="4" borderId="5" xfId="3" applyNumberFormat="1" applyFont="1" applyFill="1" applyBorder="1" applyAlignment="1" applyProtection="1">
      <alignment horizontal="center" vertical="center"/>
    </xf>
    <xf numFmtId="0" fontId="25" fillId="4" borderId="5" xfId="3" applyFont="1" applyFill="1" applyBorder="1" applyAlignment="1" applyProtection="1">
      <alignment horizontal="center" vertical="center" wrapText="1"/>
    </xf>
    <xf numFmtId="0" fontId="9" fillId="0" borderId="40" xfId="4" applyFont="1" applyFill="1" applyBorder="1" applyAlignment="1" applyProtection="1">
      <alignment horizontal="left" vertical="center" wrapText="1"/>
    </xf>
    <xf numFmtId="0" fontId="9" fillId="0" borderId="41" xfId="4" applyFont="1" applyFill="1" applyBorder="1" applyAlignment="1" applyProtection="1">
      <alignment horizontal="left" vertical="center" wrapText="1"/>
    </xf>
    <xf numFmtId="0" fontId="9" fillId="0" borderId="43" xfId="4" applyFont="1" applyFill="1" applyBorder="1" applyAlignment="1" applyProtection="1">
      <alignment horizontal="left" vertical="center" wrapText="1"/>
    </xf>
    <xf numFmtId="0" fontId="9" fillId="0" borderId="44" xfId="4" applyFont="1" applyFill="1" applyBorder="1" applyAlignment="1" applyProtection="1">
      <alignment horizontal="left" vertical="center" wrapText="1"/>
    </xf>
    <xf numFmtId="0" fontId="8" fillId="0" borderId="48" xfId="3" applyFont="1" applyFill="1" applyBorder="1" applyAlignment="1" applyProtection="1">
      <alignment horizontal="left" vertical="center" wrapText="1"/>
    </xf>
    <xf numFmtId="0" fontId="8" fillId="0" borderId="6" xfId="3" applyFont="1" applyFill="1" applyBorder="1" applyAlignment="1" applyProtection="1">
      <alignment horizontal="left" vertical="center" wrapText="1"/>
    </xf>
    <xf numFmtId="0" fontId="8" fillId="0" borderId="49" xfId="3" applyFont="1" applyFill="1" applyBorder="1" applyAlignment="1" applyProtection="1">
      <alignment horizontal="left" vertical="center" wrapText="1"/>
    </xf>
    <xf numFmtId="0" fontId="8" fillId="0" borderId="46" xfId="3" applyFont="1" applyFill="1" applyBorder="1" applyAlignment="1" applyProtection="1">
      <alignment horizontal="left" vertical="center" wrapText="1"/>
    </xf>
    <xf numFmtId="0" fontId="8" fillId="0" borderId="38" xfId="3" applyFont="1" applyFill="1" applyBorder="1" applyAlignment="1" applyProtection="1">
      <alignment horizontal="left" vertical="center" wrapText="1"/>
    </xf>
    <xf numFmtId="0" fontId="8" fillId="0" borderId="47" xfId="3" applyFont="1" applyFill="1" applyBorder="1" applyAlignment="1" applyProtection="1">
      <alignment horizontal="left" vertical="center" wrapText="1"/>
    </xf>
    <xf numFmtId="0" fontId="9" fillId="0" borderId="43" xfId="3" applyFont="1" applyFill="1" applyBorder="1" applyAlignment="1" applyProtection="1">
      <alignment horizontal="left" vertical="center" wrapText="1"/>
    </xf>
    <xf numFmtId="0" fontId="9" fillId="0" borderId="44" xfId="3" applyFont="1" applyFill="1" applyBorder="1" applyAlignment="1" applyProtection="1">
      <alignment horizontal="left" vertical="center" wrapText="1"/>
    </xf>
    <xf numFmtId="0" fontId="9" fillId="0" borderId="50" xfId="4" applyFont="1" applyFill="1" applyBorder="1" applyAlignment="1" applyProtection="1">
      <alignment horizontal="left" vertical="center" wrapText="1"/>
    </xf>
    <xf numFmtId="0" fontId="9" fillId="0" borderId="51" xfId="4" applyFont="1" applyFill="1" applyBorder="1" applyAlignment="1" applyProtection="1">
      <alignment horizontal="left" vertical="center" wrapText="1"/>
    </xf>
    <xf numFmtId="0" fontId="5" fillId="0" borderId="6" xfId="3" applyFont="1" applyBorder="1" applyAlignment="1" applyProtection="1">
      <alignment horizontal="center" vertical="center"/>
    </xf>
    <xf numFmtId="0" fontId="5" fillId="0" borderId="0" xfId="3" applyFont="1" applyBorder="1" applyAlignment="1" applyProtection="1">
      <alignment horizontal="center" vertical="center"/>
    </xf>
    <xf numFmtId="0" fontId="5" fillId="0" borderId="1" xfId="3" applyFont="1" applyBorder="1" applyAlignment="1" applyProtection="1">
      <alignment horizontal="center" vertical="center"/>
    </xf>
    <xf numFmtId="0" fontId="5" fillId="0" borderId="6" xfId="3" applyFont="1" applyBorder="1" applyAlignment="1" applyProtection="1">
      <alignment horizontal="center" vertical="center"/>
      <protection locked="0"/>
    </xf>
    <xf numFmtId="0" fontId="5" fillId="0" borderId="9" xfId="3" applyFont="1" applyBorder="1" applyAlignment="1" applyProtection="1">
      <alignment horizontal="center" vertical="center"/>
      <protection locked="0"/>
    </xf>
    <xf numFmtId="0" fontId="5" fillId="0" borderId="0" xfId="3" applyFont="1" applyBorder="1" applyAlignment="1" applyProtection="1">
      <alignment horizontal="center" vertical="center"/>
      <protection locked="0"/>
    </xf>
    <xf numFmtId="0" fontId="5" fillId="0" borderId="12" xfId="3" applyFont="1" applyBorder="1" applyAlignment="1" applyProtection="1">
      <alignment horizontal="center" vertical="center"/>
      <protection locked="0"/>
    </xf>
    <xf numFmtId="0" fontId="5" fillId="0" borderId="1" xfId="3" applyFont="1" applyBorder="1" applyAlignment="1" applyProtection="1">
      <alignment horizontal="center" vertical="center"/>
      <protection locked="0"/>
    </xf>
    <xf numFmtId="0" fontId="5" fillId="0" borderId="10" xfId="3" applyFont="1" applyBorder="1" applyAlignment="1" applyProtection="1">
      <alignment horizontal="center" vertical="center"/>
      <protection locked="0"/>
    </xf>
    <xf numFmtId="0" fontId="8" fillId="0" borderId="51" xfId="3" applyFont="1" applyFill="1" applyBorder="1" applyAlignment="1" applyProtection="1">
      <alignment horizontal="left" vertical="center" wrapText="1"/>
    </xf>
    <xf numFmtId="0" fontId="5" fillId="0" borderId="7" xfId="3" applyFont="1" applyBorder="1" applyAlignment="1" applyProtection="1">
      <alignment horizontal="center" vertical="center"/>
      <protection locked="0"/>
    </xf>
    <xf numFmtId="0" fontId="5" fillId="0" borderId="13" xfId="3" applyFont="1" applyBorder="1" applyAlignment="1" applyProtection="1">
      <alignment horizontal="center" vertical="center"/>
      <protection locked="0"/>
    </xf>
    <xf numFmtId="0" fontId="5" fillId="0" borderId="8" xfId="3" applyFont="1" applyBorder="1" applyAlignment="1" applyProtection="1">
      <alignment horizontal="center" vertical="center"/>
      <protection locked="0"/>
    </xf>
    <xf numFmtId="0" fontId="11" fillId="4" borderId="11" xfId="3" applyFont="1" applyFill="1" applyBorder="1" applyAlignment="1" applyProtection="1">
      <alignment horizontal="center" vertical="center" wrapText="1"/>
    </xf>
    <xf numFmtId="0" fontId="11" fillId="4" borderId="5" xfId="3" applyFont="1" applyFill="1" applyBorder="1" applyAlignment="1" applyProtection="1">
      <alignment horizontal="center" vertical="center" wrapText="1"/>
    </xf>
    <xf numFmtId="0" fontId="12" fillId="0" borderId="4" xfId="4" applyFont="1" applyFill="1" applyBorder="1" applyAlignment="1" applyProtection="1">
      <alignment horizontal="center"/>
    </xf>
    <xf numFmtId="0" fontId="12" fillId="0" borderId="3" xfId="4" applyFont="1" applyFill="1" applyBorder="1" applyAlignment="1" applyProtection="1">
      <alignment horizontal="center"/>
    </xf>
    <xf numFmtId="164" fontId="12" fillId="0" borderId="5" xfId="3" applyNumberFormat="1" applyFont="1" applyFill="1" applyBorder="1" applyAlignment="1" applyProtection="1">
      <alignment horizontal="center" vertical="center"/>
    </xf>
    <xf numFmtId="164" fontId="11" fillId="0" borderId="5" xfId="1" applyNumberFormat="1" applyFont="1" applyFill="1" applyBorder="1" applyAlignment="1" applyProtection="1">
      <alignment horizontal="center" vertical="center"/>
    </xf>
    <xf numFmtId="164" fontId="12" fillId="0" borderId="2" xfId="4" applyNumberFormat="1" applyFont="1" applyFill="1" applyBorder="1" applyAlignment="1" applyProtection="1">
      <alignment horizontal="center" vertical="center"/>
      <protection locked="0"/>
    </xf>
    <xf numFmtId="164" fontId="12" fillId="0" borderId="4" xfId="4" applyNumberFormat="1" applyFont="1" applyFill="1" applyBorder="1" applyAlignment="1" applyProtection="1">
      <alignment horizontal="center" vertical="center"/>
      <protection locked="0"/>
    </xf>
    <xf numFmtId="164" fontId="12" fillId="0" borderId="3" xfId="4" applyNumberFormat="1" applyFont="1" applyFill="1" applyBorder="1" applyAlignment="1" applyProtection="1">
      <alignment horizontal="center" vertical="center"/>
      <protection locked="0"/>
    </xf>
    <xf numFmtId="0" fontId="11" fillId="0" borderId="2" xfId="4" applyFont="1" applyFill="1" applyBorder="1" applyAlignment="1" applyProtection="1">
      <alignment horizontal="center" vertical="center"/>
    </xf>
    <xf numFmtId="0" fontId="11" fillId="0" borderId="4" xfId="4" applyFont="1" applyFill="1" applyBorder="1" applyAlignment="1" applyProtection="1">
      <alignment horizontal="center" vertical="center"/>
    </xf>
    <xf numFmtId="0" fontId="11" fillId="0" borderId="3" xfId="4" applyFont="1" applyFill="1" applyBorder="1" applyAlignment="1" applyProtection="1">
      <alignment horizontal="center" vertical="center"/>
    </xf>
    <xf numFmtId="0" fontId="25" fillId="4" borderId="5" xfId="3" applyFont="1" applyFill="1" applyBorder="1" applyAlignment="1" applyProtection="1">
      <alignment horizontal="center" vertical="center"/>
    </xf>
    <xf numFmtId="0" fontId="28" fillId="4" borderId="5" xfId="4" applyFont="1" applyFill="1" applyBorder="1" applyAlignment="1" applyProtection="1">
      <alignment horizontal="center" vertical="center" wrapText="1"/>
    </xf>
    <xf numFmtId="164" fontId="17" fillId="0" borderId="5" xfId="3" applyNumberFormat="1" applyFont="1" applyFill="1" applyBorder="1" applyAlignment="1" applyProtection="1">
      <alignment horizontal="center" vertical="center"/>
    </xf>
    <xf numFmtId="164" fontId="11" fillId="2" borderId="5" xfId="4" quotePrefix="1" applyNumberFormat="1" applyFont="1" applyFill="1" applyBorder="1" applyAlignment="1" applyProtection="1">
      <alignment horizontal="center"/>
    </xf>
    <xf numFmtId="0" fontId="17" fillId="2" borderId="5" xfId="4" applyFont="1" applyFill="1" applyBorder="1" applyAlignment="1" applyProtection="1">
      <alignment horizontal="center"/>
    </xf>
    <xf numFmtId="0" fontId="12" fillId="0" borderId="13" xfId="4" applyFont="1" applyBorder="1" applyAlignment="1" applyProtection="1">
      <alignment horizontal="center" vertical="center"/>
    </xf>
    <xf numFmtId="0" fontId="12" fillId="0" borderId="0" xfId="4" applyFont="1" applyBorder="1" applyAlignment="1" applyProtection="1">
      <alignment horizontal="center" vertical="center"/>
    </xf>
    <xf numFmtId="0" fontId="9" fillId="4" borderId="5" xfId="4" applyFont="1" applyFill="1" applyBorder="1" applyAlignment="1" applyProtection="1">
      <alignment horizontal="center" vertical="center" wrapText="1"/>
    </xf>
    <xf numFmtId="164" fontId="12" fillId="0" borderId="2" xfId="4" applyNumberFormat="1" applyFont="1" applyBorder="1" applyAlignment="1" applyProtection="1">
      <alignment horizontal="center" vertical="center"/>
      <protection locked="0"/>
    </xf>
    <xf numFmtId="164" fontId="12" fillId="0" borderId="4" xfId="4" applyNumberFormat="1" applyFont="1" applyBorder="1" applyAlignment="1" applyProtection="1">
      <alignment horizontal="center" vertical="center"/>
      <protection locked="0"/>
    </xf>
    <xf numFmtId="164" fontId="12" fillId="0" borderId="3" xfId="4" applyNumberFormat="1" applyFont="1" applyBorder="1" applyAlignment="1" applyProtection="1">
      <alignment horizontal="center" vertical="center"/>
      <protection locked="0"/>
    </xf>
    <xf numFmtId="2" fontId="25" fillId="4" borderId="5" xfId="3" applyNumberFormat="1" applyFont="1" applyFill="1" applyBorder="1" applyAlignment="1" applyProtection="1">
      <alignment horizontal="center" vertical="center"/>
    </xf>
    <xf numFmtId="164" fontId="8" fillId="0" borderId="5" xfId="3" applyNumberFormat="1" applyFont="1" applyBorder="1" applyAlignment="1" applyProtection="1">
      <alignment horizontal="center" vertical="center"/>
    </xf>
    <xf numFmtId="2" fontId="11" fillId="0" borderId="14" xfId="4" applyNumberFormat="1" applyFont="1" applyBorder="1" applyAlignment="1" applyProtection="1">
      <alignment horizontal="center" vertical="center"/>
    </xf>
    <xf numFmtId="0" fontId="28" fillId="4" borderId="5" xfId="4" applyFont="1" applyFill="1" applyBorder="1" applyAlignment="1" applyProtection="1">
      <alignment horizontal="left" vertical="center" wrapText="1"/>
    </xf>
    <xf numFmtId="0" fontId="28" fillId="4" borderId="14" xfId="4" applyFont="1" applyFill="1" applyBorder="1" applyAlignment="1" applyProtection="1">
      <alignment horizontal="left" vertical="center" wrapText="1"/>
    </xf>
    <xf numFmtId="164" fontId="12" fillId="0" borderId="5" xfId="4" applyNumberFormat="1" applyFont="1" applyBorder="1" applyAlignment="1" applyProtection="1">
      <alignment horizontal="center" vertical="center"/>
      <protection locked="0"/>
    </xf>
    <xf numFmtId="164" fontId="11" fillId="0" borderId="5" xfId="4" applyNumberFormat="1" applyFont="1" applyBorder="1" applyAlignment="1" applyProtection="1">
      <alignment horizontal="center" vertical="center"/>
    </xf>
    <xf numFmtId="164" fontId="15" fillId="4" borderId="7" xfId="2" applyNumberFormat="1" applyFont="1" applyFill="1" applyBorder="1" applyAlignment="1" applyProtection="1">
      <alignment horizontal="center" vertical="center"/>
    </xf>
    <xf numFmtId="164" fontId="15" fillId="4" borderId="6" xfId="2" applyNumberFormat="1" applyFont="1" applyFill="1" applyBorder="1" applyAlignment="1" applyProtection="1">
      <alignment horizontal="center" vertical="center"/>
    </xf>
    <xf numFmtId="164" fontId="15" fillId="4" borderId="9" xfId="2" applyNumberFormat="1" applyFont="1" applyFill="1" applyBorder="1" applyAlignment="1" applyProtection="1">
      <alignment horizontal="center" vertical="center"/>
    </xf>
    <xf numFmtId="165" fontId="25" fillId="4" borderId="5" xfId="3" applyNumberFormat="1" applyFont="1" applyFill="1" applyBorder="1" applyAlignment="1" applyProtection="1">
      <alignment horizontal="center" vertical="center"/>
    </xf>
    <xf numFmtId="0" fontId="30" fillId="4" borderId="5" xfId="4" applyFont="1" applyFill="1" applyBorder="1" applyAlignment="1" applyProtection="1">
      <alignment horizontal="left" vertical="center" wrapText="1"/>
    </xf>
    <xf numFmtId="2" fontId="11" fillId="0" borderId="7" xfId="4" applyNumberFormat="1" applyFont="1" applyBorder="1" applyAlignment="1" applyProtection="1">
      <alignment horizontal="center" vertical="center"/>
    </xf>
    <xf numFmtId="2" fontId="11" fillId="0" borderId="6" xfId="4" applyNumberFormat="1" applyFont="1" applyBorder="1" applyAlignment="1" applyProtection="1">
      <alignment horizontal="center" vertical="center"/>
    </xf>
    <xf numFmtId="2" fontId="11" fillId="0" borderId="9" xfId="4" applyNumberFormat="1" applyFont="1" applyBorder="1" applyAlignment="1" applyProtection="1">
      <alignment horizontal="center" vertical="center"/>
    </xf>
    <xf numFmtId="2" fontId="11" fillId="0" borderId="8" xfId="4" applyNumberFormat="1" applyFont="1" applyBorder="1" applyAlignment="1" applyProtection="1">
      <alignment horizontal="center" vertical="center"/>
    </xf>
    <xf numFmtId="2" fontId="11" fillId="0" borderId="1" xfId="4" applyNumberFormat="1" applyFont="1" applyBorder="1" applyAlignment="1" applyProtection="1">
      <alignment horizontal="center" vertical="center"/>
    </xf>
    <xf numFmtId="2" fontId="11" fillId="0" borderId="10" xfId="4" applyNumberFormat="1" applyFont="1" applyBorder="1" applyAlignment="1" applyProtection="1">
      <alignment horizontal="center" vertical="center"/>
    </xf>
    <xf numFmtId="164" fontId="7" fillId="0" borderId="2" xfId="3" applyNumberFormat="1" applyFont="1" applyBorder="1" applyAlignment="1" applyProtection="1">
      <alignment horizontal="center" vertical="center"/>
    </xf>
    <xf numFmtId="0" fontId="9" fillId="4" borderId="2" xfId="4" applyFont="1" applyFill="1" applyBorder="1" applyAlignment="1" applyProtection="1">
      <alignment horizontal="center" vertical="center" wrapText="1"/>
    </xf>
    <xf numFmtId="0" fontId="28" fillId="0" borderId="2" xfId="4" applyFont="1" applyFill="1" applyBorder="1" applyAlignment="1" applyProtection="1">
      <alignment horizontal="center" vertical="center"/>
    </xf>
    <xf numFmtId="0" fontId="28" fillId="0" borderId="4" xfId="4" applyFont="1" applyFill="1" applyBorder="1" applyAlignment="1" applyProtection="1">
      <alignment horizontal="center" vertical="center"/>
    </xf>
    <xf numFmtId="0" fontId="28" fillId="0" borderId="3" xfId="4" applyFont="1" applyFill="1" applyBorder="1" applyAlignment="1" applyProtection="1">
      <alignment horizontal="center" vertical="center"/>
    </xf>
    <xf numFmtId="164" fontId="11" fillId="0" borderId="2" xfId="4" applyNumberFormat="1" applyFont="1" applyBorder="1" applyAlignment="1" applyProtection="1">
      <alignment horizontal="center" vertical="center"/>
    </xf>
    <xf numFmtId="164" fontId="11" fillId="0" borderId="4" xfId="4" applyNumberFormat="1" applyFont="1" applyBorder="1" applyAlignment="1" applyProtection="1">
      <alignment horizontal="center" vertical="center"/>
    </xf>
    <xf numFmtId="164" fontId="11" fillId="0" borderId="3" xfId="4" applyNumberFormat="1" applyFont="1" applyBorder="1" applyAlignment="1" applyProtection="1">
      <alignment horizontal="center" vertical="center"/>
    </xf>
    <xf numFmtId="164" fontId="11" fillId="0" borderId="7" xfId="4" applyNumberFormat="1" applyFont="1" applyBorder="1" applyAlignment="1" applyProtection="1">
      <alignment horizontal="center" vertical="center"/>
    </xf>
    <xf numFmtId="164" fontId="11" fillId="0" borderId="6" xfId="4" applyNumberFormat="1" applyFont="1" applyBorder="1" applyAlignment="1" applyProtection="1">
      <alignment horizontal="center" vertical="center"/>
    </xf>
    <xf numFmtId="164" fontId="11" fillId="0" borderId="9" xfId="4" applyNumberFormat="1" applyFont="1" applyBorder="1" applyAlignment="1" applyProtection="1">
      <alignment horizontal="center" vertical="center"/>
    </xf>
    <xf numFmtId="164" fontId="11" fillId="0" borderId="8" xfId="4" applyNumberFormat="1" applyFont="1" applyBorder="1" applyAlignment="1" applyProtection="1">
      <alignment horizontal="center" vertical="center"/>
    </xf>
    <xf numFmtId="164" fontId="11" fillId="0" borderId="1" xfId="4" applyNumberFormat="1" applyFont="1" applyBorder="1" applyAlignment="1" applyProtection="1">
      <alignment horizontal="center" vertical="center"/>
    </xf>
    <xf numFmtId="164" fontId="11" fillId="0" borderId="10" xfId="4" applyNumberFormat="1" applyFont="1" applyBorder="1" applyAlignment="1" applyProtection="1">
      <alignment horizontal="center" vertical="center"/>
    </xf>
    <xf numFmtId="165" fontId="25" fillId="2" borderId="5" xfId="3" applyNumberFormat="1" applyFont="1" applyFill="1" applyBorder="1" applyAlignment="1" applyProtection="1">
      <alignment horizontal="center" vertical="center"/>
    </xf>
    <xf numFmtId="164" fontId="11" fillId="0" borderId="5" xfId="1" applyNumberFormat="1" applyFont="1" applyBorder="1" applyAlignment="1" applyProtection="1">
      <alignment horizontal="center" vertical="center"/>
    </xf>
    <xf numFmtId="0" fontId="28" fillId="2" borderId="5" xfId="3" applyFont="1" applyFill="1" applyBorder="1" applyAlignment="1" applyProtection="1">
      <alignment horizontal="center" vertical="center" wrapText="1"/>
    </xf>
    <xf numFmtId="2" fontId="25" fillId="2" borderId="5" xfId="3" applyNumberFormat="1" applyFont="1" applyFill="1" applyBorder="1" applyAlignment="1" applyProtection="1">
      <alignment horizontal="center" vertical="center"/>
    </xf>
    <xf numFmtId="0" fontId="17" fillId="2" borderId="5" xfId="4" applyFont="1" applyFill="1" applyBorder="1" applyAlignment="1" applyProtection="1">
      <alignment horizontal="center" vertical="center"/>
    </xf>
    <xf numFmtId="165" fontId="16" fillId="2" borderId="5" xfId="0" applyNumberFormat="1" applyFont="1" applyFill="1" applyBorder="1" applyAlignment="1" applyProtection="1">
      <alignment horizontal="center" vertical="center"/>
    </xf>
    <xf numFmtId="165" fontId="31" fillId="2" borderId="2" xfId="0" applyNumberFormat="1" applyFont="1" applyFill="1" applyBorder="1" applyAlignment="1" applyProtection="1">
      <alignment horizontal="left" vertical="center"/>
    </xf>
    <xf numFmtId="165" fontId="31" fillId="2" borderId="4" xfId="0" applyNumberFormat="1" applyFont="1" applyFill="1" applyBorder="1" applyAlignment="1" applyProtection="1">
      <alignment horizontal="left" vertical="center"/>
    </xf>
    <xf numFmtId="165" fontId="31" fillId="2" borderId="3" xfId="0" applyNumberFormat="1" applyFont="1" applyFill="1" applyBorder="1" applyAlignment="1" applyProtection="1">
      <alignment horizontal="left" vertical="center"/>
    </xf>
    <xf numFmtId="165" fontId="34" fillId="2" borderId="5" xfId="0" applyNumberFormat="1" applyFont="1" applyFill="1" applyBorder="1" applyAlignment="1" applyProtection="1">
      <alignment horizontal="right" vertical="center"/>
    </xf>
    <xf numFmtId="165" fontId="34" fillId="2" borderId="2" xfId="0" applyNumberFormat="1" applyFont="1" applyFill="1" applyBorder="1" applyAlignment="1" applyProtection="1">
      <alignment horizontal="right" vertical="center"/>
    </xf>
    <xf numFmtId="2" fontId="34" fillId="2" borderId="14" xfId="0" applyNumberFormat="1" applyFont="1" applyFill="1" applyBorder="1" applyAlignment="1" applyProtection="1">
      <alignment horizontal="right" vertical="center"/>
    </xf>
    <xf numFmtId="2" fontId="34" fillId="2" borderId="7" xfId="0" applyNumberFormat="1" applyFont="1" applyFill="1" applyBorder="1" applyAlignment="1" applyProtection="1">
      <alignment horizontal="right" vertical="center"/>
    </xf>
    <xf numFmtId="165" fontId="3" fillId="2" borderId="5" xfId="0" applyNumberFormat="1" applyFont="1" applyFill="1" applyBorder="1" applyAlignment="1" applyProtection="1">
      <alignment horizontal="right" vertical="center"/>
    </xf>
    <xf numFmtId="164" fontId="3" fillId="2" borderId="14" xfId="0" applyNumberFormat="1" applyFont="1" applyFill="1" applyBorder="1" applyAlignment="1" applyProtection="1">
      <alignment horizontal="right" vertical="center"/>
    </xf>
    <xf numFmtId="164" fontId="34" fillId="2" borderId="5" xfId="0" applyNumberFormat="1" applyFont="1" applyFill="1" applyBorder="1" applyAlignment="1" applyProtection="1">
      <alignment horizontal="right" vertical="center"/>
    </xf>
    <xf numFmtId="1" fontId="26" fillId="0" borderId="2" xfId="0" applyNumberFormat="1" applyFont="1" applyFill="1" applyBorder="1" applyAlignment="1" applyProtection="1">
      <alignment horizontal="center" vertical="center"/>
      <protection locked="0"/>
    </xf>
    <xf numFmtId="1" fontId="26" fillId="0" borderId="3" xfId="0" applyNumberFormat="1" applyFont="1" applyFill="1" applyBorder="1" applyAlignment="1" applyProtection="1">
      <alignment horizontal="center" vertical="center"/>
      <protection locked="0"/>
    </xf>
    <xf numFmtId="0" fontId="26" fillId="0" borderId="2" xfId="0" applyFont="1" applyFill="1" applyBorder="1" applyAlignment="1" applyProtection="1">
      <alignment horizontal="center" vertical="center"/>
      <protection locked="0"/>
    </xf>
    <xf numFmtId="0" fontId="26" fillId="0" borderId="3" xfId="0" applyFont="1" applyFill="1" applyBorder="1" applyAlignment="1" applyProtection="1">
      <alignment horizontal="center" vertical="center"/>
      <protection locked="0"/>
    </xf>
    <xf numFmtId="0" fontId="25" fillId="0" borderId="2" xfId="0" applyFont="1" applyFill="1" applyBorder="1" applyAlignment="1" applyProtection="1">
      <alignment horizontal="center" vertical="center"/>
      <protection locked="0"/>
    </xf>
    <xf numFmtId="0" fontId="25" fillId="0" borderId="3" xfId="0" applyFont="1" applyFill="1" applyBorder="1" applyAlignment="1" applyProtection="1">
      <alignment horizontal="center" vertical="center"/>
      <protection locked="0"/>
    </xf>
    <xf numFmtId="165" fontId="25" fillId="0" borderId="2" xfId="0" applyNumberFormat="1" applyFont="1" applyFill="1" applyBorder="1" applyAlignment="1" applyProtection="1">
      <alignment horizontal="center" vertical="center"/>
    </xf>
    <xf numFmtId="165" fontId="25" fillId="0" borderId="3" xfId="0" applyNumberFormat="1" applyFont="1" applyFill="1" applyBorder="1" applyAlignment="1" applyProtection="1">
      <alignment horizontal="center" vertical="center"/>
    </xf>
    <xf numFmtId="1" fontId="25" fillId="0" borderId="5" xfId="0" applyNumberFormat="1" applyFont="1" applyFill="1" applyBorder="1" applyAlignment="1" applyProtection="1">
      <alignment horizontal="center" vertical="center"/>
    </xf>
    <xf numFmtId="165" fontId="14" fillId="0" borderId="4" xfId="0" applyNumberFormat="1" applyFont="1" applyFill="1" applyBorder="1" applyAlignment="1" applyProtection="1">
      <alignment horizontal="center" vertical="center"/>
    </xf>
    <xf numFmtId="165" fontId="14" fillId="0" borderId="3" xfId="0" applyNumberFormat="1" applyFont="1" applyFill="1" applyBorder="1" applyAlignment="1" applyProtection="1">
      <alignment horizontal="center" vertical="center"/>
    </xf>
    <xf numFmtId="165" fontId="25" fillId="0" borderId="4" xfId="0" applyNumberFormat="1" applyFont="1" applyFill="1" applyBorder="1" applyAlignment="1" applyProtection="1">
      <alignment horizontal="center" vertical="center"/>
    </xf>
    <xf numFmtId="165" fontId="25" fillId="4" borderId="6" xfId="0" applyNumberFormat="1" applyFont="1" applyFill="1" applyBorder="1" applyAlignment="1" applyProtection="1">
      <alignment horizontal="center" vertical="center"/>
    </xf>
    <xf numFmtId="165" fontId="25" fillId="4" borderId="9" xfId="0" applyNumberFormat="1" applyFont="1" applyFill="1" applyBorder="1" applyAlignment="1" applyProtection="1">
      <alignment horizontal="center" vertical="center"/>
    </xf>
    <xf numFmtId="165" fontId="25" fillId="4" borderId="1" xfId="0" applyNumberFormat="1" applyFont="1" applyFill="1" applyBorder="1" applyAlignment="1" applyProtection="1">
      <alignment horizontal="center" vertical="center"/>
    </xf>
    <xf numFmtId="165" fontId="25" fillId="4" borderId="10" xfId="0" applyNumberFormat="1" applyFont="1" applyFill="1" applyBorder="1" applyAlignment="1" applyProtection="1">
      <alignment horizontal="center" vertical="center"/>
    </xf>
    <xf numFmtId="14" fontId="15" fillId="0" borderId="2" xfId="0" applyNumberFormat="1" applyFont="1" applyFill="1" applyBorder="1" applyAlignment="1" applyProtection="1">
      <alignment horizontal="center" vertical="center"/>
    </xf>
    <xf numFmtId="14" fontId="15" fillId="0" borderId="4" xfId="0" applyNumberFormat="1" applyFont="1" applyFill="1" applyBorder="1" applyAlignment="1" applyProtection="1">
      <alignment horizontal="center" vertical="center"/>
    </xf>
    <xf numFmtId="14" fontId="15" fillId="0" borderId="3" xfId="0" applyNumberFormat="1" applyFont="1" applyFill="1" applyBorder="1" applyAlignment="1" applyProtection="1">
      <alignment horizontal="center" vertical="center"/>
    </xf>
    <xf numFmtId="2" fontId="46" fillId="0" borderId="6" xfId="0" applyNumberFormat="1" applyFont="1" applyFill="1" applyBorder="1" applyAlignment="1" applyProtection="1">
      <alignment horizontal="left" vertical="center" wrapText="1"/>
    </xf>
    <xf numFmtId="2" fontId="14" fillId="0" borderId="2" xfId="0" applyNumberFormat="1" applyFont="1" applyFill="1" applyBorder="1" applyAlignment="1" applyProtection="1">
      <alignment horizontal="center" vertical="center"/>
    </xf>
    <xf numFmtId="2" fontId="14" fillId="0" borderId="4" xfId="0" applyNumberFormat="1" applyFont="1" applyFill="1" applyBorder="1" applyAlignment="1" applyProtection="1">
      <alignment horizontal="center" vertical="center"/>
    </xf>
    <xf numFmtId="2" fontId="46" fillId="0" borderId="1" xfId="0" applyNumberFormat="1" applyFont="1" applyFill="1" applyBorder="1" applyAlignment="1" applyProtection="1">
      <alignment horizontal="right" vertical="center" wrapText="1"/>
    </xf>
    <xf numFmtId="165" fontId="25" fillId="0" borderId="5" xfId="0" applyNumberFormat="1" applyFont="1" applyFill="1" applyBorder="1" applyAlignment="1" applyProtection="1">
      <alignment horizontal="center" vertical="center"/>
    </xf>
    <xf numFmtId="164" fontId="25" fillId="0" borderId="2" xfId="0" applyNumberFormat="1" applyFont="1" applyFill="1" applyBorder="1" applyAlignment="1" applyProtection="1">
      <alignment horizontal="center" vertical="center"/>
    </xf>
    <xf numFmtId="164" fontId="25" fillId="0" borderId="4" xfId="0" applyNumberFormat="1" applyFont="1" applyFill="1" applyBorder="1" applyAlignment="1" applyProtection="1">
      <alignment horizontal="center" vertical="center"/>
    </xf>
    <xf numFmtId="164" fontId="25" fillId="0" borderId="3" xfId="0" applyNumberFormat="1" applyFont="1" applyFill="1" applyBorder="1" applyAlignment="1" applyProtection="1">
      <alignment horizontal="center" vertical="center"/>
    </xf>
    <xf numFmtId="164" fontId="26" fillId="0" borderId="2" xfId="0" applyNumberFormat="1" applyFont="1" applyFill="1" applyBorder="1" applyAlignment="1" applyProtection="1">
      <alignment horizontal="center" vertical="center"/>
      <protection locked="0"/>
    </xf>
    <xf numFmtId="164" fontId="26" fillId="0" borderId="4" xfId="0" applyNumberFormat="1" applyFont="1" applyFill="1" applyBorder="1" applyAlignment="1" applyProtection="1">
      <alignment horizontal="center" vertical="center"/>
      <protection locked="0"/>
    </xf>
    <xf numFmtId="164" fontId="26" fillId="0" borderId="3" xfId="0" applyNumberFormat="1" applyFont="1" applyFill="1" applyBorder="1" applyAlignment="1" applyProtection="1">
      <alignment horizontal="center" vertical="center"/>
      <protection locked="0"/>
    </xf>
    <xf numFmtId="0" fontId="26" fillId="0" borderId="28" xfId="0" applyFont="1" applyFill="1" applyBorder="1" applyAlignment="1" applyProtection="1">
      <alignment horizontal="left" vertical="center"/>
    </xf>
    <xf numFmtId="0" fontId="26" fillId="0" borderId="29" xfId="0" applyFont="1" applyFill="1" applyBorder="1" applyAlignment="1" applyProtection="1">
      <alignment horizontal="left" vertical="center"/>
    </xf>
    <xf numFmtId="0" fontId="26" fillId="0" borderId="5" xfId="0" applyFont="1" applyFill="1" applyBorder="1" applyAlignment="1" applyProtection="1">
      <alignment horizontal="left" vertical="center"/>
    </xf>
    <xf numFmtId="0" fontId="26" fillId="0" borderId="2" xfId="0" applyFont="1" applyFill="1" applyBorder="1" applyAlignment="1" applyProtection="1">
      <alignment horizontal="left" vertical="center"/>
    </xf>
    <xf numFmtId="0" fontId="26" fillId="0" borderId="4" xfId="0" applyFont="1" applyFill="1" applyBorder="1" applyAlignment="1" applyProtection="1">
      <alignment horizontal="left" vertical="center"/>
    </xf>
    <xf numFmtId="165" fontId="26" fillId="0" borderId="29" xfId="0" applyNumberFormat="1" applyFont="1" applyFill="1" applyBorder="1" applyAlignment="1" applyProtection="1">
      <alignment horizontal="left" vertical="center"/>
    </xf>
    <xf numFmtId="165" fontId="26" fillId="0" borderId="30" xfId="0" applyNumberFormat="1" applyFont="1" applyFill="1" applyBorder="1" applyAlignment="1" applyProtection="1">
      <alignment horizontal="left" vertical="center"/>
    </xf>
    <xf numFmtId="2" fontId="26" fillId="0" borderId="3" xfId="0" applyNumberFormat="1" applyFont="1" applyFill="1" applyBorder="1" applyAlignment="1" applyProtection="1">
      <alignment horizontal="left" vertical="center"/>
    </xf>
    <xf numFmtId="2" fontId="26" fillId="0" borderId="5" xfId="0" applyNumberFormat="1" applyFont="1" applyFill="1" applyBorder="1" applyAlignment="1" applyProtection="1">
      <alignment horizontal="left" vertical="center"/>
    </xf>
    <xf numFmtId="0" fontId="16" fillId="0" borderId="2" xfId="0" applyFont="1" applyFill="1" applyBorder="1" applyAlignment="1" applyProtection="1">
      <alignment horizontal="left" vertical="center"/>
    </xf>
    <xf numFmtId="0" fontId="16" fillId="0" borderId="4" xfId="0" applyFont="1" applyFill="1" applyBorder="1" applyAlignment="1" applyProtection="1">
      <alignment horizontal="left" vertical="center"/>
    </xf>
    <xf numFmtId="164" fontId="26" fillId="0" borderId="3" xfId="0" applyNumberFormat="1" applyFont="1" applyFill="1" applyBorder="1" applyAlignment="1" applyProtection="1">
      <alignment horizontal="left" vertical="center"/>
    </xf>
    <xf numFmtId="164" fontId="26" fillId="0" borderId="5" xfId="0" applyNumberFormat="1" applyFont="1" applyFill="1" applyBorder="1" applyAlignment="1" applyProtection="1">
      <alignment horizontal="left" vertical="center"/>
    </xf>
    <xf numFmtId="0" fontId="26" fillId="0" borderId="3" xfId="0" applyFont="1" applyFill="1" applyBorder="1" applyAlignment="1" applyProtection="1">
      <alignment horizontal="left" vertical="center"/>
    </xf>
    <xf numFmtId="0" fontId="12" fillId="0" borderId="5" xfId="4" applyFont="1" applyFill="1" applyBorder="1" applyAlignment="1" applyProtection="1">
      <alignment horizontal="right" vertical="center"/>
    </xf>
    <xf numFmtId="165" fontId="14" fillId="0" borderId="5" xfId="0" applyNumberFormat="1" applyFont="1" applyFill="1" applyBorder="1" applyAlignment="1" applyProtection="1">
      <alignment horizontal="center" vertical="center"/>
    </xf>
    <xf numFmtId="2" fontId="12" fillId="7" borderId="5" xfId="0" applyNumberFormat="1" applyFont="1" applyFill="1" applyBorder="1" applyAlignment="1" applyProtection="1">
      <alignment horizontal="center" vertical="center"/>
    </xf>
    <xf numFmtId="2" fontId="12" fillId="7" borderId="2" xfId="0" applyNumberFormat="1" applyFont="1" applyFill="1" applyBorder="1" applyAlignment="1" applyProtection="1">
      <alignment horizontal="center" vertical="center"/>
    </xf>
    <xf numFmtId="2" fontId="14" fillId="0" borderId="3" xfId="0" applyNumberFormat="1" applyFont="1" applyFill="1" applyBorder="1" applyAlignment="1" applyProtection="1">
      <alignment horizontal="center" vertical="center"/>
    </xf>
    <xf numFmtId="2" fontId="46" fillId="0" borderId="4" xfId="0" applyNumberFormat="1" applyFont="1" applyFill="1" applyBorder="1" applyAlignment="1" applyProtection="1">
      <alignment horizontal="right" vertical="center" wrapText="1"/>
    </xf>
    <xf numFmtId="0" fontId="2" fillId="0" borderId="11" xfId="0" applyFont="1" applyFill="1" applyBorder="1" applyAlignment="1" applyProtection="1">
      <alignment horizontal="center" vertical="center" textRotation="90" wrapText="1"/>
    </xf>
    <xf numFmtId="0" fontId="2" fillId="0" borderId="5" xfId="0" applyFont="1" applyFill="1" applyBorder="1" applyAlignment="1" applyProtection="1">
      <alignment horizontal="center" vertical="center" textRotation="90" wrapText="1"/>
    </xf>
    <xf numFmtId="0" fontId="16" fillId="0" borderId="4" xfId="0" applyFont="1" applyFill="1" applyBorder="1" applyAlignment="1" applyProtection="1">
      <alignment horizontal="center" vertical="center"/>
    </xf>
    <xf numFmtId="0" fontId="16" fillId="0" borderId="3" xfId="0" applyFont="1" applyFill="1" applyBorder="1" applyAlignment="1" applyProtection="1">
      <alignment horizontal="center" vertical="center"/>
    </xf>
    <xf numFmtId="0" fontId="12" fillId="0" borderId="22" xfId="4" applyFont="1" applyFill="1" applyBorder="1" applyAlignment="1" applyProtection="1">
      <alignment horizontal="right" vertical="center"/>
    </xf>
    <xf numFmtId="0" fontId="12" fillId="0" borderId="20" xfId="4" applyFont="1" applyFill="1" applyBorder="1" applyAlignment="1" applyProtection="1">
      <alignment horizontal="right" vertical="center"/>
    </xf>
    <xf numFmtId="0" fontId="12" fillId="0" borderId="21" xfId="4" applyFont="1" applyFill="1" applyBorder="1" applyAlignment="1" applyProtection="1">
      <alignment horizontal="right" vertical="center"/>
    </xf>
    <xf numFmtId="1" fontId="16" fillId="0" borderId="22" xfId="0" applyNumberFormat="1" applyFont="1" applyBorder="1" applyAlignment="1" applyProtection="1">
      <alignment horizontal="center" vertical="center"/>
    </xf>
    <xf numFmtId="1" fontId="16" fillId="0" borderId="20" xfId="0" applyNumberFormat="1" applyFont="1" applyBorder="1" applyAlignment="1" applyProtection="1">
      <alignment horizontal="center" vertical="center"/>
    </xf>
    <xf numFmtId="0" fontId="16" fillId="0" borderId="20" xfId="0" applyFont="1" applyFill="1" applyBorder="1" applyAlignment="1" applyProtection="1">
      <alignment horizontal="center" vertical="center"/>
    </xf>
    <xf numFmtId="0" fontId="16" fillId="0" borderId="21" xfId="0" applyFont="1" applyFill="1" applyBorder="1" applyAlignment="1" applyProtection="1">
      <alignment horizontal="center" vertical="center"/>
    </xf>
    <xf numFmtId="2" fontId="12" fillId="0" borderId="5" xfId="0" applyNumberFormat="1" applyFont="1" applyFill="1" applyBorder="1" applyAlignment="1" applyProtection="1">
      <alignment horizontal="center" vertical="center"/>
    </xf>
    <xf numFmtId="2" fontId="14" fillId="0" borderId="5" xfId="0" applyNumberFormat="1" applyFont="1" applyFill="1" applyBorder="1" applyAlignment="1" applyProtection="1">
      <alignment horizontal="center" vertical="center"/>
    </xf>
    <xf numFmtId="2" fontId="12" fillId="0" borderId="2" xfId="0" applyNumberFormat="1" applyFont="1" applyFill="1" applyBorder="1" applyAlignment="1" applyProtection="1">
      <alignment horizontal="center" vertical="center"/>
    </xf>
    <xf numFmtId="2" fontId="12" fillId="0" borderId="4" xfId="0" applyNumberFormat="1" applyFont="1" applyFill="1" applyBorder="1" applyAlignment="1" applyProtection="1">
      <alignment horizontal="center" vertical="center"/>
    </xf>
    <xf numFmtId="2" fontId="12" fillId="0" borderId="3" xfId="0" applyNumberFormat="1" applyFont="1" applyFill="1" applyBorder="1" applyAlignment="1" applyProtection="1">
      <alignment horizontal="center" vertical="center"/>
    </xf>
    <xf numFmtId="2" fontId="12" fillId="0" borderId="22" xfId="0" applyNumberFormat="1" applyFont="1" applyFill="1" applyBorder="1" applyAlignment="1" applyProtection="1">
      <alignment horizontal="center" vertical="center"/>
    </xf>
    <xf numFmtId="2" fontId="12" fillId="0" borderId="20" xfId="0" applyNumberFormat="1" applyFont="1" applyFill="1" applyBorder="1" applyAlignment="1" applyProtection="1">
      <alignment horizontal="center" vertical="center"/>
    </xf>
    <xf numFmtId="2" fontId="12" fillId="0" borderId="21" xfId="0" applyNumberFormat="1" applyFont="1" applyFill="1" applyBorder="1" applyAlignment="1" applyProtection="1">
      <alignment horizontal="center" vertical="center"/>
    </xf>
    <xf numFmtId="0" fontId="25" fillId="4" borderId="7" xfId="0" applyFont="1" applyFill="1" applyBorder="1" applyAlignment="1" applyProtection="1">
      <alignment horizontal="left" vertical="center" wrapText="1"/>
    </xf>
    <xf numFmtId="0" fontId="25" fillId="4" borderId="6" xfId="0" applyFont="1" applyFill="1" applyBorder="1" applyAlignment="1" applyProtection="1">
      <alignment horizontal="left" vertical="center" wrapText="1"/>
    </xf>
    <xf numFmtId="0" fontId="25" fillId="4" borderId="8" xfId="0" applyFont="1" applyFill="1" applyBorder="1" applyAlignment="1" applyProtection="1">
      <alignment horizontal="left" vertical="center" wrapText="1"/>
    </xf>
    <xf numFmtId="0" fontId="25" fillId="4" borderId="1" xfId="0" applyFont="1" applyFill="1" applyBorder="1" applyAlignment="1" applyProtection="1">
      <alignment horizontal="left" vertical="center" wrapText="1"/>
    </xf>
    <xf numFmtId="0" fontId="16" fillId="0" borderId="2" xfId="0" applyFont="1" applyFill="1" applyBorder="1" applyAlignment="1" applyProtection="1">
      <alignment horizontal="center" vertical="center"/>
    </xf>
    <xf numFmtId="2" fontId="46" fillId="0" borderId="0" xfId="0" applyNumberFormat="1" applyFont="1" applyFill="1" applyBorder="1" applyAlignment="1" applyProtection="1">
      <alignment horizontal="left" vertical="center" wrapText="1"/>
    </xf>
    <xf numFmtId="0" fontId="6" fillId="4" borderId="7" xfId="0" applyFont="1" applyFill="1" applyBorder="1" applyAlignment="1" applyProtection="1">
      <alignment horizontal="center" vertical="center" wrapText="1"/>
    </xf>
    <xf numFmtId="0" fontId="6" fillId="4" borderId="6" xfId="0" applyFont="1" applyFill="1" applyBorder="1" applyAlignment="1" applyProtection="1">
      <alignment horizontal="center" vertical="center" wrapText="1"/>
    </xf>
    <xf numFmtId="0" fontId="6" fillId="4" borderId="9" xfId="0" applyFont="1" applyFill="1" applyBorder="1" applyAlignment="1" applyProtection="1">
      <alignment horizontal="center" vertical="center" wrapText="1"/>
    </xf>
    <xf numFmtId="0" fontId="6" fillId="4" borderId="8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4" borderId="10" xfId="0" applyFont="1" applyFill="1" applyBorder="1" applyAlignment="1" applyProtection="1">
      <alignment horizontal="center" vertical="center" wrapText="1"/>
    </xf>
    <xf numFmtId="1" fontId="26" fillId="0" borderId="5" xfId="0" applyNumberFormat="1" applyFont="1" applyFill="1" applyBorder="1" applyAlignment="1" applyProtection="1">
      <alignment horizontal="center" vertical="center"/>
      <protection locked="0"/>
    </xf>
    <xf numFmtId="2" fontId="26" fillId="0" borderId="5" xfId="0" applyNumberFormat="1" applyFont="1" applyFill="1" applyBorder="1" applyAlignment="1" applyProtection="1">
      <alignment horizontal="center" vertical="center"/>
      <protection locked="0"/>
    </xf>
    <xf numFmtId="0" fontId="31" fillId="0" borderId="2" xfId="0" applyFont="1" applyBorder="1" applyAlignment="1" applyProtection="1">
      <alignment horizontal="center" vertical="center"/>
    </xf>
    <xf numFmtId="0" fontId="31" fillId="0" borderId="4" xfId="0" applyFont="1" applyBorder="1" applyAlignment="1" applyProtection="1">
      <alignment horizontal="center" vertical="center"/>
    </xf>
    <xf numFmtId="0" fontId="31" fillId="0" borderId="3" xfId="0" applyFont="1" applyBorder="1" applyAlignment="1" applyProtection="1">
      <alignment horizontal="center" vertical="center"/>
    </xf>
    <xf numFmtId="0" fontId="6" fillId="4" borderId="2" xfId="0" applyFont="1" applyFill="1" applyBorder="1" applyAlignment="1" applyProtection="1">
      <alignment horizontal="center" vertical="center"/>
    </xf>
    <xf numFmtId="0" fontId="6" fillId="4" borderId="3" xfId="0" applyFont="1" applyFill="1" applyBorder="1" applyAlignment="1" applyProtection="1">
      <alignment horizontal="center" vertical="center"/>
    </xf>
    <xf numFmtId="0" fontId="6" fillId="4" borderId="14" xfId="0" applyFont="1" applyFill="1" applyBorder="1" applyAlignment="1" applyProtection="1">
      <alignment horizontal="center" vertical="center"/>
    </xf>
    <xf numFmtId="0" fontId="6" fillId="4" borderId="11" xfId="0" applyFont="1" applyFill="1" applyBorder="1" applyAlignment="1" applyProtection="1">
      <alignment horizontal="center" vertical="center"/>
    </xf>
    <xf numFmtId="0" fontId="6" fillId="4" borderId="7" xfId="0" applyFont="1" applyFill="1" applyBorder="1" applyAlignment="1" applyProtection="1">
      <alignment horizontal="center" vertical="center"/>
    </xf>
    <xf numFmtId="0" fontId="6" fillId="4" borderId="9" xfId="0" applyFont="1" applyFill="1" applyBorder="1" applyAlignment="1" applyProtection="1">
      <alignment horizontal="center" vertical="center"/>
    </xf>
    <xf numFmtId="0" fontId="6" fillId="4" borderId="8" xfId="0" applyFont="1" applyFill="1" applyBorder="1" applyAlignment="1" applyProtection="1">
      <alignment horizontal="center" vertical="center"/>
    </xf>
    <xf numFmtId="0" fontId="6" fillId="4" borderId="10" xfId="0" applyFont="1" applyFill="1" applyBorder="1" applyAlignment="1" applyProtection="1">
      <alignment horizontal="center" vertical="center"/>
    </xf>
    <xf numFmtId="0" fontId="6" fillId="4" borderId="2" xfId="0" applyFont="1" applyFill="1" applyBorder="1" applyAlignment="1" applyProtection="1">
      <alignment horizontal="center" vertical="center" wrapText="1"/>
    </xf>
    <xf numFmtId="0" fontId="6" fillId="4" borderId="4" xfId="0" applyFont="1" applyFill="1" applyBorder="1" applyAlignment="1" applyProtection="1">
      <alignment horizontal="center" vertical="center" wrapText="1"/>
    </xf>
    <xf numFmtId="0" fontId="6" fillId="4" borderId="3" xfId="0" applyFont="1" applyFill="1" applyBorder="1" applyAlignment="1" applyProtection="1">
      <alignment horizontal="center" vertical="center" wrapText="1"/>
    </xf>
    <xf numFmtId="0" fontId="6" fillId="4" borderId="5" xfId="0" applyFont="1" applyFill="1" applyBorder="1" applyAlignment="1" applyProtection="1">
      <alignment horizontal="center" vertical="center" wrapText="1"/>
    </xf>
    <xf numFmtId="2" fontId="26" fillId="0" borderId="2" xfId="0" applyNumberFormat="1" applyFont="1" applyFill="1" applyBorder="1" applyAlignment="1" applyProtection="1">
      <alignment horizontal="center" vertical="center"/>
      <protection locked="0"/>
    </xf>
    <xf numFmtId="2" fontId="26" fillId="0" borderId="3" xfId="0" applyNumberFormat="1" applyFont="1" applyFill="1" applyBorder="1" applyAlignment="1" applyProtection="1">
      <alignment horizontal="center" vertical="center"/>
      <protection locked="0"/>
    </xf>
    <xf numFmtId="0" fontId="31" fillId="2" borderId="2" xfId="0" applyFont="1" applyFill="1" applyBorder="1" applyAlignment="1" applyProtection="1">
      <alignment horizontal="right" vertical="center"/>
    </xf>
    <xf numFmtId="0" fontId="31" fillId="2" borderId="4" xfId="0" applyFont="1" applyFill="1" applyBorder="1" applyAlignment="1" applyProtection="1">
      <alignment horizontal="right" vertical="center"/>
    </xf>
    <xf numFmtId="0" fontId="31" fillId="2" borderId="3" xfId="0" applyFont="1" applyFill="1" applyBorder="1" applyAlignment="1" applyProtection="1">
      <alignment horizontal="right" vertical="center"/>
    </xf>
    <xf numFmtId="0" fontId="31" fillId="2" borderId="8" xfId="0" applyFont="1" applyFill="1" applyBorder="1" applyAlignment="1" applyProtection="1">
      <alignment horizontal="center" vertical="center"/>
    </xf>
    <xf numFmtId="0" fontId="31" fillId="2" borderId="1" xfId="0" applyFont="1" applyFill="1" applyBorder="1" applyAlignment="1" applyProtection="1">
      <alignment horizontal="center" vertical="center"/>
    </xf>
    <xf numFmtId="0" fontId="31" fillId="2" borderId="10" xfId="0" applyFont="1" applyFill="1" applyBorder="1" applyAlignment="1" applyProtection="1">
      <alignment horizontal="center" vertical="center"/>
    </xf>
    <xf numFmtId="0" fontId="31" fillId="2" borderId="2" xfId="0" applyFont="1" applyFill="1" applyBorder="1" applyAlignment="1" applyProtection="1">
      <alignment horizontal="center" vertical="center"/>
    </xf>
    <xf numFmtId="0" fontId="31" fillId="2" borderId="4" xfId="0" applyFont="1" applyFill="1" applyBorder="1" applyAlignment="1" applyProtection="1">
      <alignment horizontal="center" vertical="center"/>
    </xf>
    <xf numFmtId="0" fontId="31" fillId="2" borderId="3" xfId="0" applyFont="1" applyFill="1" applyBorder="1" applyAlignment="1" applyProtection="1">
      <alignment horizontal="center" vertical="center"/>
    </xf>
    <xf numFmtId="164" fontId="16" fillId="2" borderId="2" xfId="0" applyNumberFormat="1" applyFont="1" applyFill="1" applyBorder="1" applyAlignment="1" applyProtection="1">
      <alignment horizontal="center" vertical="center"/>
    </xf>
    <xf numFmtId="164" fontId="16" fillId="2" borderId="4" xfId="0" applyNumberFormat="1" applyFont="1" applyFill="1" applyBorder="1" applyAlignment="1" applyProtection="1">
      <alignment horizontal="center" vertical="center"/>
    </xf>
    <xf numFmtId="164" fontId="16" fillId="2" borderId="3" xfId="0" applyNumberFormat="1" applyFont="1" applyFill="1" applyBorder="1" applyAlignment="1" applyProtection="1">
      <alignment horizontal="center" vertical="center"/>
    </xf>
    <xf numFmtId="164" fontId="3" fillId="2" borderId="5" xfId="0" applyNumberFormat="1" applyFont="1" applyFill="1" applyBorder="1" applyAlignment="1" applyProtection="1">
      <alignment horizontal="right" vertical="center"/>
    </xf>
    <xf numFmtId="164" fontId="34" fillId="2" borderId="2" xfId="0" applyNumberFormat="1" applyFont="1" applyFill="1" applyBorder="1" applyAlignment="1" applyProtection="1">
      <alignment horizontal="right" vertical="center"/>
    </xf>
    <xf numFmtId="0" fontId="15" fillId="2" borderId="5" xfId="0" applyFont="1" applyFill="1" applyBorder="1" applyAlignment="1" applyProtection="1">
      <alignment horizontal="left" vertical="center"/>
    </xf>
    <xf numFmtId="0" fontId="15" fillId="2" borderId="2" xfId="0" applyFont="1" applyFill="1" applyBorder="1" applyAlignment="1" applyProtection="1">
      <alignment horizontal="left" vertical="center"/>
    </xf>
    <xf numFmtId="165" fontId="16" fillId="2" borderId="2" xfId="0" applyNumberFormat="1" applyFont="1" applyFill="1" applyBorder="1" applyAlignment="1" applyProtection="1">
      <alignment horizontal="left" vertical="center" indent="3"/>
    </xf>
    <xf numFmtId="165" fontId="16" fillId="2" borderId="4" xfId="0" applyNumberFormat="1" applyFont="1" applyFill="1" applyBorder="1" applyAlignment="1" applyProtection="1">
      <alignment horizontal="left" vertical="center" indent="3"/>
    </xf>
    <xf numFmtId="165" fontId="16" fillId="2" borderId="3" xfId="0" applyNumberFormat="1" applyFont="1" applyFill="1" applyBorder="1" applyAlignment="1" applyProtection="1">
      <alignment horizontal="left" vertical="center" indent="3"/>
    </xf>
    <xf numFmtId="165" fontId="26" fillId="0" borderId="4" xfId="0" applyNumberFormat="1" applyFont="1" applyFill="1" applyBorder="1" applyAlignment="1" applyProtection="1">
      <alignment horizontal="left" vertical="center"/>
    </xf>
    <xf numFmtId="164" fontId="26" fillId="0" borderId="4" xfId="0" applyNumberFormat="1" applyFont="1" applyFill="1" applyBorder="1" applyAlignment="1" applyProtection="1">
      <alignment horizontal="left" vertical="center"/>
    </xf>
    <xf numFmtId="1" fontId="26" fillId="0" borderId="4" xfId="0" applyNumberFormat="1" applyFont="1" applyFill="1" applyBorder="1" applyAlignment="1" applyProtection="1">
      <alignment horizontal="left" vertical="center"/>
    </xf>
    <xf numFmtId="1" fontId="26" fillId="0" borderId="3" xfId="0" applyNumberFormat="1" applyFont="1" applyFill="1" applyBorder="1" applyAlignment="1" applyProtection="1">
      <alignment horizontal="left" vertical="center"/>
    </xf>
    <xf numFmtId="165" fontId="26" fillId="0" borderId="3" xfId="0" applyNumberFormat="1" applyFont="1" applyFill="1" applyBorder="1" applyAlignment="1" applyProtection="1">
      <alignment horizontal="left" vertical="center"/>
    </xf>
    <xf numFmtId="165" fontId="14" fillId="0" borderId="2" xfId="0" applyNumberFormat="1" applyFont="1" applyFill="1" applyBorder="1" applyAlignment="1" applyProtection="1">
      <alignment horizontal="center" vertical="center"/>
    </xf>
    <xf numFmtId="0" fontId="16" fillId="0" borderId="2" xfId="0" applyFont="1" applyBorder="1" applyAlignment="1" applyProtection="1">
      <alignment horizontal="center" vertical="center"/>
    </xf>
    <xf numFmtId="0" fontId="16" fillId="0" borderId="4" xfId="0" applyFont="1" applyBorder="1" applyAlignment="1" applyProtection="1">
      <alignment horizontal="center" vertical="center"/>
    </xf>
    <xf numFmtId="0" fontId="31" fillId="2" borderId="8" xfId="0" applyFont="1" applyFill="1" applyBorder="1" applyAlignment="1" applyProtection="1">
      <alignment horizontal="right" vertical="center"/>
    </xf>
    <xf numFmtId="0" fontId="31" fillId="2" borderId="1" xfId="0" applyFont="1" applyFill="1" applyBorder="1" applyAlignment="1" applyProtection="1">
      <alignment horizontal="right" vertical="center"/>
    </xf>
    <xf numFmtId="0" fontId="31" fillId="2" borderId="1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left" vertical="center"/>
    </xf>
    <xf numFmtId="0" fontId="2" fillId="2" borderId="4" xfId="0" applyFont="1" applyFill="1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horizontal="left" vertical="center"/>
    </xf>
    <xf numFmtId="1" fontId="25" fillId="0" borderId="5" xfId="0" applyNumberFormat="1" applyFont="1" applyFill="1" applyBorder="1" applyAlignment="1" applyProtection="1">
      <alignment horizontal="left" vertical="center"/>
    </xf>
    <xf numFmtId="0" fontId="2" fillId="2" borderId="7" xfId="0" applyFont="1" applyFill="1" applyBorder="1" applyAlignment="1" applyProtection="1">
      <alignment horizontal="left" vertical="center"/>
    </xf>
    <xf numFmtId="0" fontId="2" fillId="2" borderId="6" xfId="0" applyFont="1" applyFill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left" vertical="center"/>
    </xf>
    <xf numFmtId="0" fontId="15" fillId="2" borderId="4" xfId="0" applyFont="1" applyFill="1" applyBorder="1" applyAlignment="1" applyProtection="1">
      <alignment horizontal="left" vertical="center"/>
    </xf>
    <xf numFmtId="0" fontId="15" fillId="2" borderId="3" xfId="0" applyFont="1" applyFill="1" applyBorder="1" applyAlignment="1" applyProtection="1">
      <alignment horizontal="left" vertical="center"/>
    </xf>
    <xf numFmtId="2" fontId="3" fillId="2" borderId="14" xfId="0" applyNumberFormat="1" applyFont="1" applyFill="1" applyBorder="1" applyAlignment="1" applyProtection="1">
      <alignment horizontal="right" vertical="center"/>
    </xf>
    <xf numFmtId="164" fontId="3" fillId="0" borderId="0" xfId="0" applyNumberFormat="1" applyFont="1" applyBorder="1" applyAlignment="1" applyProtection="1">
      <alignment horizontal="right" vertical="center"/>
    </xf>
    <xf numFmtId="165" fontId="3" fillId="0" borderId="0" xfId="0" applyNumberFormat="1" applyFont="1" applyBorder="1" applyAlignment="1" applyProtection="1">
      <alignment horizontal="right" vertical="center"/>
    </xf>
    <xf numFmtId="2" fontId="3" fillId="0" borderId="0" xfId="0" applyNumberFormat="1" applyFont="1" applyBorder="1" applyAlignment="1" applyProtection="1">
      <alignment horizontal="right" vertical="center"/>
    </xf>
    <xf numFmtId="2" fontId="46" fillId="0" borderId="20" xfId="0" applyNumberFormat="1" applyFont="1" applyFill="1" applyBorder="1" applyAlignment="1" applyProtection="1">
      <alignment horizontal="left" vertical="center" wrapText="1"/>
    </xf>
    <xf numFmtId="2" fontId="46" fillId="0" borderId="22" xfId="0" applyNumberFormat="1" applyFont="1" applyFill="1" applyBorder="1" applyAlignment="1" applyProtection="1">
      <alignment horizontal="right" vertical="center" wrapText="1"/>
    </xf>
    <xf numFmtId="2" fontId="46" fillId="0" borderId="20" xfId="0" applyNumberFormat="1" applyFont="1" applyFill="1" applyBorder="1" applyAlignment="1" applyProtection="1">
      <alignment horizontal="right" vertical="center" wrapText="1"/>
    </xf>
    <xf numFmtId="0" fontId="16" fillId="0" borderId="22" xfId="0" applyFont="1" applyFill="1" applyBorder="1" applyAlignment="1" applyProtection="1">
      <alignment horizontal="center" vertical="center"/>
    </xf>
    <xf numFmtId="0" fontId="15" fillId="2" borderId="2" xfId="0" applyFont="1" applyFill="1" applyBorder="1" applyAlignment="1" applyProtection="1">
      <alignment horizontal="center" vertical="center"/>
    </xf>
    <xf numFmtId="0" fontId="15" fillId="2" borderId="3" xfId="0" applyFont="1" applyFill="1" applyBorder="1" applyAlignment="1" applyProtection="1">
      <alignment horizontal="center" vertical="center"/>
    </xf>
    <xf numFmtId="168" fontId="26" fillId="0" borderId="5" xfId="0" applyNumberFormat="1" applyFont="1" applyBorder="1" applyAlignment="1" applyProtection="1">
      <alignment horizontal="center" vertical="center"/>
    </xf>
    <xf numFmtId="166" fontId="26" fillId="0" borderId="54" xfId="0" applyNumberFormat="1" applyFont="1" applyBorder="1" applyAlignment="1" applyProtection="1">
      <alignment horizontal="center" vertical="center"/>
    </xf>
    <xf numFmtId="166" fontId="26" fillId="0" borderId="55" xfId="0" applyNumberFormat="1" applyFont="1" applyBorder="1" applyAlignment="1" applyProtection="1">
      <alignment horizontal="center" vertical="center"/>
    </xf>
    <xf numFmtId="166" fontId="26" fillId="0" borderId="56" xfId="0" applyNumberFormat="1" applyFont="1" applyBorder="1" applyAlignment="1" applyProtection="1">
      <alignment horizontal="center" vertical="center"/>
    </xf>
    <xf numFmtId="164" fontId="26" fillId="0" borderId="5" xfId="0" applyNumberFormat="1" applyFont="1" applyBorder="1" applyAlignment="1" applyProtection="1">
      <alignment horizontal="center" vertical="center"/>
    </xf>
    <xf numFmtId="2" fontId="6" fillId="5" borderId="2" xfId="0" applyNumberFormat="1" applyFont="1" applyFill="1" applyBorder="1" applyAlignment="1" applyProtection="1">
      <alignment horizontal="left" vertical="center"/>
    </xf>
    <xf numFmtId="2" fontId="6" fillId="5" borderId="4" xfId="0" applyNumberFormat="1" applyFont="1" applyFill="1" applyBorder="1" applyAlignment="1" applyProtection="1">
      <alignment horizontal="left" vertical="center"/>
    </xf>
    <xf numFmtId="14" fontId="3" fillId="3" borderId="4" xfId="0" applyNumberFormat="1" applyFont="1" applyFill="1" applyBorder="1" applyAlignment="1" applyProtection="1">
      <alignment horizontal="left" vertical="center"/>
    </xf>
    <xf numFmtId="14" fontId="3" fillId="3" borderId="3" xfId="0" applyNumberFormat="1" applyFont="1" applyFill="1" applyBorder="1" applyAlignment="1" applyProtection="1">
      <alignment horizontal="left" vertical="center"/>
    </xf>
    <xf numFmtId="164" fontId="10" fillId="0" borderId="5" xfId="0" applyNumberFormat="1" applyFont="1" applyBorder="1" applyAlignment="1" applyProtection="1">
      <alignment horizontal="center" vertical="center"/>
    </xf>
    <xf numFmtId="0" fontId="26" fillId="0" borderId="5" xfId="0" applyFont="1" applyBorder="1" applyAlignment="1" applyProtection="1">
      <alignment horizontal="center" vertical="center"/>
    </xf>
    <xf numFmtId="164" fontId="25" fillId="0" borderId="5" xfId="0" applyNumberFormat="1" applyFont="1" applyBorder="1" applyAlignment="1" applyProtection="1">
      <alignment horizontal="center" vertical="center"/>
    </xf>
    <xf numFmtId="164" fontId="25" fillId="0" borderId="5" xfId="0" applyNumberFormat="1" applyFont="1" applyFill="1" applyBorder="1" applyAlignment="1" applyProtection="1">
      <alignment horizontal="center" vertical="center"/>
    </xf>
    <xf numFmtId="0" fontId="31" fillId="4" borderId="2" xfId="0" applyFont="1" applyFill="1" applyBorder="1" applyAlignment="1" applyProtection="1">
      <alignment horizontal="center" vertical="center" wrapText="1"/>
    </xf>
    <xf numFmtId="0" fontId="31" fillId="4" borderId="4" xfId="0" applyFont="1" applyFill="1" applyBorder="1" applyAlignment="1" applyProtection="1">
      <alignment horizontal="center" vertical="center" wrapText="1"/>
    </xf>
    <xf numFmtId="0" fontId="31" fillId="4" borderId="3" xfId="0" applyFont="1" applyFill="1" applyBorder="1" applyAlignment="1" applyProtection="1">
      <alignment horizontal="center" vertical="center" wrapText="1"/>
    </xf>
    <xf numFmtId="165" fontId="10" fillId="5" borderId="4" xfId="0" applyNumberFormat="1" applyFont="1" applyFill="1" applyBorder="1" applyAlignment="1" applyProtection="1">
      <alignment horizontal="center" vertical="center"/>
    </xf>
    <xf numFmtId="165" fontId="10" fillId="5" borderId="3" xfId="0" applyNumberFormat="1" applyFont="1" applyFill="1" applyBorder="1" applyAlignment="1" applyProtection="1">
      <alignment horizontal="center" vertical="center"/>
    </xf>
    <xf numFmtId="164" fontId="25" fillId="0" borderId="7" xfId="0" applyNumberFormat="1" applyFont="1" applyFill="1" applyBorder="1" applyAlignment="1" applyProtection="1">
      <alignment horizontal="center" vertical="center"/>
    </xf>
    <xf numFmtId="164" fontId="25" fillId="0" borderId="6" xfId="0" applyNumberFormat="1" applyFont="1" applyFill="1" applyBorder="1" applyAlignment="1" applyProtection="1">
      <alignment horizontal="center" vertical="center"/>
    </xf>
    <xf numFmtId="164" fontId="25" fillId="0" borderId="9" xfId="0" applyNumberFormat="1" applyFont="1" applyFill="1" applyBorder="1" applyAlignment="1" applyProtection="1">
      <alignment horizontal="center" vertical="center"/>
    </xf>
    <xf numFmtId="0" fontId="5" fillId="0" borderId="7" xfId="3" applyFont="1" applyBorder="1" applyAlignment="1" applyProtection="1">
      <alignment horizontal="center" vertical="center"/>
    </xf>
    <xf numFmtId="0" fontId="5" fillId="0" borderId="13" xfId="3" applyFont="1" applyBorder="1" applyAlignment="1" applyProtection="1">
      <alignment horizontal="center" vertical="center"/>
    </xf>
    <xf numFmtId="0" fontId="5" fillId="0" borderId="8" xfId="3" applyFont="1" applyBorder="1" applyAlignment="1" applyProtection="1">
      <alignment horizontal="center" vertical="center"/>
    </xf>
    <xf numFmtId="0" fontId="5" fillId="0" borderId="9" xfId="3" applyFont="1" applyBorder="1" applyAlignment="1" applyProtection="1">
      <alignment horizontal="center" vertical="center"/>
    </xf>
    <xf numFmtId="0" fontId="5" fillId="0" borderId="12" xfId="3" applyFont="1" applyBorder="1" applyAlignment="1" applyProtection="1">
      <alignment horizontal="center" vertical="center"/>
    </xf>
    <xf numFmtId="0" fontId="5" fillId="0" borderId="10" xfId="3" applyFont="1" applyBorder="1" applyAlignment="1" applyProtection="1">
      <alignment horizontal="center" vertical="center"/>
    </xf>
    <xf numFmtId="164" fontId="25" fillId="2" borderId="5" xfId="0" applyNumberFormat="1" applyFont="1" applyFill="1" applyBorder="1" applyAlignment="1" applyProtection="1">
      <alignment horizontal="center" vertical="center"/>
    </xf>
    <xf numFmtId="0" fontId="29" fillId="2" borderId="5" xfId="0" applyFont="1" applyFill="1" applyBorder="1" applyAlignment="1" applyProtection="1">
      <alignment horizontal="center" vertical="center"/>
    </xf>
    <xf numFmtId="164" fontId="25" fillId="2" borderId="7" xfId="0" applyNumberFormat="1" applyFont="1" applyFill="1" applyBorder="1" applyAlignment="1" applyProtection="1">
      <alignment horizontal="center" vertical="center"/>
    </xf>
    <xf numFmtId="164" fontId="25" fillId="2" borderId="6" xfId="0" applyNumberFormat="1" applyFont="1" applyFill="1" applyBorder="1" applyAlignment="1" applyProtection="1">
      <alignment horizontal="center" vertical="center"/>
    </xf>
    <xf numFmtId="164" fontId="25" fillId="2" borderId="9" xfId="0" applyNumberFormat="1" applyFont="1" applyFill="1" applyBorder="1" applyAlignment="1" applyProtection="1">
      <alignment horizontal="center" vertical="center"/>
    </xf>
    <xf numFmtId="0" fontId="29" fillId="2" borderId="7" xfId="0" applyFont="1" applyFill="1" applyBorder="1" applyAlignment="1" applyProtection="1">
      <alignment horizontal="right" vertical="center" wrapText="1"/>
    </xf>
    <xf numFmtId="0" fontId="29" fillId="2" borderId="6" xfId="0" applyFont="1" applyFill="1" applyBorder="1" applyAlignment="1" applyProtection="1">
      <alignment horizontal="right" vertical="center" wrapText="1"/>
    </xf>
    <xf numFmtId="0" fontId="29" fillId="2" borderId="9" xfId="0" applyFont="1" applyFill="1" applyBorder="1" applyAlignment="1" applyProtection="1">
      <alignment horizontal="right" vertical="center" wrapText="1"/>
    </xf>
    <xf numFmtId="0" fontId="29" fillId="2" borderId="7" xfId="0" applyFont="1" applyFill="1" applyBorder="1" applyAlignment="1" applyProtection="1">
      <alignment horizontal="right" vertical="center"/>
    </xf>
    <xf numFmtId="0" fontId="29" fillId="2" borderId="6" xfId="0" applyFont="1" applyFill="1" applyBorder="1" applyAlignment="1" applyProtection="1">
      <alignment horizontal="right" vertical="center"/>
    </xf>
    <xf numFmtId="0" fontId="29" fillId="2" borderId="9" xfId="0" applyFont="1" applyFill="1" applyBorder="1" applyAlignment="1" applyProtection="1">
      <alignment horizontal="right" vertical="center"/>
    </xf>
    <xf numFmtId="165" fontId="6" fillId="3" borderId="2" xfId="0" applyNumberFormat="1" applyFont="1" applyFill="1" applyBorder="1" applyAlignment="1" applyProtection="1">
      <alignment horizontal="left" vertical="center" wrapText="1"/>
    </xf>
    <xf numFmtId="165" fontId="6" fillId="3" borderId="4" xfId="0" applyNumberFormat="1" applyFont="1" applyFill="1" applyBorder="1" applyAlignment="1" applyProtection="1">
      <alignment horizontal="left" vertical="center" wrapText="1"/>
    </xf>
    <xf numFmtId="0" fontId="18" fillId="0" borderId="43" xfId="4" applyFont="1" applyFill="1" applyBorder="1" applyAlignment="1" applyProtection="1">
      <alignment horizontal="left" vertical="center"/>
    </xf>
    <xf numFmtId="0" fontId="18" fillId="0" borderId="44" xfId="4" applyFont="1" applyFill="1" applyBorder="1" applyAlignment="1" applyProtection="1">
      <alignment horizontal="left" vertical="center"/>
    </xf>
    <xf numFmtId="14" fontId="18" fillId="0" borderId="44" xfId="4" applyNumberFormat="1" applyFont="1" applyBorder="1" applyAlignment="1" applyProtection="1">
      <alignment horizontal="left" vertical="center"/>
      <protection locked="0"/>
    </xf>
    <xf numFmtId="14" fontId="18" fillId="0" borderId="45" xfId="4" applyNumberFormat="1" applyFont="1" applyBorder="1" applyAlignment="1" applyProtection="1">
      <alignment horizontal="left" vertical="center"/>
      <protection locked="0"/>
    </xf>
    <xf numFmtId="0" fontId="18" fillId="0" borderId="43" xfId="4" applyFont="1" applyFill="1" applyBorder="1" applyAlignment="1" applyProtection="1">
      <alignment horizontal="center" vertical="center"/>
    </xf>
    <xf numFmtId="0" fontId="18" fillId="0" borderId="44" xfId="4" applyFont="1" applyFill="1" applyBorder="1" applyAlignment="1" applyProtection="1">
      <alignment horizontal="center" vertical="center"/>
    </xf>
    <xf numFmtId="0" fontId="18" fillId="0" borderId="18" xfId="4" applyFont="1" applyFill="1" applyBorder="1" applyAlignment="1" applyProtection="1">
      <alignment horizontal="center" vertical="center"/>
    </xf>
    <xf numFmtId="0" fontId="18" fillId="0" borderId="44" xfId="4" applyFont="1" applyBorder="1" applyAlignment="1" applyProtection="1">
      <alignment horizontal="left" vertical="center"/>
      <protection locked="0"/>
    </xf>
    <xf numFmtId="0" fontId="18" fillId="0" borderId="45" xfId="4" applyFont="1" applyBorder="1" applyAlignment="1" applyProtection="1">
      <alignment horizontal="left" vertical="center"/>
      <protection locked="0"/>
    </xf>
    <xf numFmtId="0" fontId="20" fillId="0" borderId="7" xfId="4" applyFont="1" applyBorder="1" applyAlignment="1" applyProtection="1">
      <alignment horizontal="center" vertical="center"/>
      <protection locked="0"/>
    </xf>
    <xf numFmtId="0" fontId="20" fillId="0" borderId="6" xfId="4" applyFont="1" applyBorder="1" applyAlignment="1" applyProtection="1">
      <alignment horizontal="center" vertical="center"/>
      <protection locked="0"/>
    </xf>
    <xf numFmtId="0" fontId="20" fillId="0" borderId="13" xfId="4" applyFont="1" applyBorder="1" applyAlignment="1" applyProtection="1">
      <alignment horizontal="center" vertical="center"/>
      <protection locked="0"/>
    </xf>
    <xf numFmtId="0" fontId="20" fillId="0" borderId="0" xfId="4" applyFont="1" applyBorder="1" applyAlignment="1" applyProtection="1">
      <alignment horizontal="center" vertical="center"/>
      <protection locked="0"/>
    </xf>
    <xf numFmtId="0" fontId="20" fillId="0" borderId="8" xfId="4" applyFont="1" applyBorder="1" applyAlignment="1" applyProtection="1">
      <alignment horizontal="center" vertical="center"/>
      <protection locked="0"/>
    </xf>
    <xf numFmtId="0" fontId="20" fillId="0" borderId="1" xfId="4" applyFont="1" applyBorder="1" applyAlignment="1" applyProtection="1">
      <alignment horizontal="center" vertical="center"/>
      <protection locked="0"/>
    </xf>
    <xf numFmtId="0" fontId="20" fillId="0" borderId="6" xfId="4" applyFont="1" applyBorder="1" applyAlignment="1" applyProtection="1">
      <alignment horizontal="center" vertical="center"/>
    </xf>
    <xf numFmtId="0" fontId="20" fillId="0" borderId="0" xfId="4" applyFont="1" applyBorder="1" applyAlignment="1" applyProtection="1">
      <alignment horizontal="center" vertical="center"/>
    </xf>
    <xf numFmtId="0" fontId="20" fillId="0" borderId="1" xfId="4" applyFont="1" applyBorder="1" applyAlignment="1" applyProtection="1">
      <alignment horizontal="center" vertical="center"/>
    </xf>
    <xf numFmtId="0" fontId="20" fillId="0" borderId="9" xfId="4" applyFont="1" applyBorder="1" applyAlignment="1" applyProtection="1">
      <alignment horizontal="center" vertical="center"/>
      <protection locked="0"/>
    </xf>
    <xf numFmtId="0" fontId="20" fillId="0" borderId="12" xfId="4" applyFont="1" applyBorder="1" applyAlignment="1" applyProtection="1">
      <alignment horizontal="center" vertical="center"/>
      <protection locked="0"/>
    </xf>
    <xf numFmtId="0" fontId="20" fillId="0" borderId="10" xfId="4" applyFont="1" applyBorder="1" applyAlignment="1" applyProtection="1">
      <alignment horizontal="center" vertical="center"/>
      <protection locked="0"/>
    </xf>
    <xf numFmtId="0" fontId="27" fillId="0" borderId="2" xfId="4" applyFont="1" applyBorder="1" applyAlignment="1" applyProtection="1">
      <alignment horizontal="center" vertical="center"/>
    </xf>
    <xf numFmtId="0" fontId="27" fillId="0" borderId="4" xfId="4" applyFont="1" applyBorder="1" applyAlignment="1" applyProtection="1">
      <alignment horizontal="center" vertical="center"/>
    </xf>
    <xf numFmtId="0" fontId="27" fillId="0" borderId="3" xfId="4" applyFont="1" applyBorder="1" applyAlignment="1" applyProtection="1">
      <alignment horizontal="center" vertical="center"/>
    </xf>
    <xf numFmtId="0" fontId="18" fillId="0" borderId="40" xfId="4" applyFont="1" applyFill="1" applyBorder="1" applyAlignment="1" applyProtection="1">
      <alignment horizontal="center" vertical="center"/>
    </xf>
    <xf numFmtId="0" fontId="18" fillId="0" borderId="41" xfId="4" applyFont="1" applyFill="1" applyBorder="1" applyAlignment="1" applyProtection="1">
      <alignment horizontal="center" vertical="center"/>
    </xf>
    <xf numFmtId="0" fontId="20" fillId="0" borderId="48" xfId="4" applyFont="1" applyFill="1" applyBorder="1" applyAlignment="1" applyProtection="1">
      <alignment horizontal="left" vertical="center" wrapText="1"/>
    </xf>
    <xf numFmtId="0" fontId="20" fillId="0" borderId="6" xfId="4" applyFont="1" applyFill="1" applyBorder="1" applyAlignment="1" applyProtection="1">
      <alignment horizontal="left" vertical="center" wrapText="1"/>
    </xf>
    <xf numFmtId="0" fontId="20" fillId="0" borderId="9" xfId="4" applyFont="1" applyFill="1" applyBorder="1" applyAlignment="1" applyProtection="1">
      <alignment horizontal="left" vertical="center" wrapText="1"/>
    </xf>
    <xf numFmtId="0" fontId="20" fillId="0" borderId="53" xfId="4" applyFont="1" applyFill="1" applyBorder="1" applyAlignment="1" applyProtection="1">
      <alignment horizontal="left" vertical="center" wrapText="1"/>
    </xf>
    <xf numFmtId="0" fontId="20" fillId="0" borderId="0" xfId="4" applyFont="1" applyFill="1" applyBorder="1" applyAlignment="1" applyProtection="1">
      <alignment horizontal="left" vertical="center" wrapText="1"/>
    </xf>
    <xf numFmtId="0" fontId="20" fillId="0" borderId="12" xfId="4" applyFont="1" applyFill="1" applyBorder="1" applyAlignment="1" applyProtection="1">
      <alignment horizontal="left" vertical="center" wrapText="1"/>
    </xf>
    <xf numFmtId="0" fontId="20" fillId="0" borderId="46" xfId="4" applyFont="1" applyFill="1" applyBorder="1" applyAlignment="1" applyProtection="1">
      <alignment horizontal="left" vertical="center" wrapText="1"/>
    </xf>
    <xf numFmtId="0" fontId="20" fillId="0" borderId="38" xfId="4" applyFont="1" applyFill="1" applyBorder="1" applyAlignment="1" applyProtection="1">
      <alignment horizontal="left" vertical="center" wrapText="1"/>
    </xf>
    <xf numFmtId="0" fontId="20" fillId="0" borderId="39" xfId="4" applyFont="1" applyFill="1" applyBorder="1" applyAlignment="1" applyProtection="1">
      <alignment horizontal="left" vertical="center" wrapText="1"/>
    </xf>
    <xf numFmtId="0" fontId="18" fillId="0" borderId="40" xfId="4" applyFont="1" applyFill="1" applyBorder="1" applyAlignment="1" applyProtection="1">
      <alignment horizontal="left" vertical="center"/>
    </xf>
    <xf numFmtId="0" fontId="18" fillId="0" borderId="41" xfId="4" applyFont="1" applyFill="1" applyBorder="1" applyAlignment="1" applyProtection="1">
      <alignment horizontal="left" vertical="center"/>
    </xf>
    <xf numFmtId="0" fontId="18" fillId="0" borderId="41" xfId="4" applyFont="1" applyBorder="1" applyAlignment="1" applyProtection="1">
      <alignment horizontal="left" vertical="center"/>
      <protection locked="0"/>
    </xf>
    <xf numFmtId="0" fontId="18" fillId="0" borderId="42" xfId="4" applyFont="1" applyBorder="1" applyAlignment="1" applyProtection="1">
      <alignment horizontal="left" vertical="center"/>
      <protection locked="0"/>
    </xf>
    <xf numFmtId="0" fontId="20" fillId="0" borderId="2" xfId="4" applyFont="1" applyBorder="1" applyAlignment="1" applyProtection="1">
      <alignment horizontal="center" vertical="center"/>
      <protection locked="0"/>
    </xf>
    <xf numFmtId="0" fontId="20" fillId="0" borderId="3" xfId="4" applyFont="1" applyBorder="1" applyAlignment="1" applyProtection="1">
      <alignment horizontal="center" vertical="center"/>
      <protection locked="0"/>
    </xf>
    <xf numFmtId="0" fontId="18" fillId="4" borderId="7" xfId="4" applyFont="1" applyFill="1" applyBorder="1" applyAlignment="1" applyProtection="1">
      <alignment horizontal="center" vertical="center"/>
    </xf>
    <xf numFmtId="0" fontId="18" fillId="4" borderId="6" xfId="4" applyFont="1" applyFill="1" applyBorder="1" applyAlignment="1" applyProtection="1">
      <alignment horizontal="center" vertical="center"/>
    </xf>
    <xf numFmtId="0" fontId="18" fillId="4" borderId="9" xfId="4" applyFont="1" applyFill="1" applyBorder="1" applyAlignment="1" applyProtection="1">
      <alignment horizontal="center" vertical="center"/>
    </xf>
    <xf numFmtId="0" fontId="18" fillId="4" borderId="8" xfId="4" applyFont="1" applyFill="1" applyBorder="1" applyAlignment="1" applyProtection="1">
      <alignment horizontal="center" vertical="center"/>
    </xf>
    <xf numFmtId="0" fontId="18" fillId="4" borderId="1" xfId="4" applyFont="1" applyFill="1" applyBorder="1" applyAlignment="1" applyProtection="1">
      <alignment horizontal="center" vertical="center"/>
    </xf>
    <xf numFmtId="0" fontId="18" fillId="4" borderId="10" xfId="4" applyFont="1" applyFill="1" applyBorder="1" applyAlignment="1" applyProtection="1">
      <alignment horizontal="center" vertical="center"/>
    </xf>
    <xf numFmtId="164" fontId="20" fillId="0" borderId="7" xfId="4" applyNumberFormat="1" applyFont="1" applyBorder="1" applyAlignment="1" applyProtection="1">
      <alignment horizontal="center" vertical="center"/>
    </xf>
    <xf numFmtId="164" fontId="20" fillId="0" borderId="6" xfId="4" applyNumberFormat="1" applyFont="1" applyBorder="1" applyAlignment="1" applyProtection="1">
      <alignment horizontal="center" vertical="center"/>
    </xf>
    <xf numFmtId="164" fontId="20" fillId="0" borderId="9" xfId="4" applyNumberFormat="1" applyFont="1" applyBorder="1" applyAlignment="1" applyProtection="1">
      <alignment horizontal="center" vertical="center"/>
    </xf>
    <xf numFmtId="164" fontId="20" fillId="0" borderId="8" xfId="4" applyNumberFormat="1" applyFont="1" applyBorder="1" applyAlignment="1" applyProtection="1">
      <alignment horizontal="center" vertical="center"/>
    </xf>
    <xf numFmtId="164" fontId="20" fillId="0" borderId="1" xfId="4" applyNumberFormat="1" applyFont="1" applyBorder="1" applyAlignment="1" applyProtection="1">
      <alignment horizontal="center" vertical="center"/>
    </xf>
    <xf numFmtId="164" fontId="20" fillId="0" borderId="10" xfId="4" applyNumberFormat="1" applyFont="1" applyBorder="1" applyAlignment="1" applyProtection="1">
      <alignment horizontal="center" vertical="center"/>
    </xf>
    <xf numFmtId="0" fontId="18" fillId="2" borderId="15" xfId="4" applyFont="1" applyFill="1" applyBorder="1" applyAlignment="1" applyProtection="1">
      <alignment horizontal="center" vertical="center" textRotation="90"/>
    </xf>
    <xf numFmtId="0" fontId="18" fillId="2" borderId="35" xfId="4" applyFont="1" applyFill="1" applyBorder="1" applyAlignment="1" applyProtection="1">
      <alignment horizontal="center" vertical="center" textRotation="90"/>
    </xf>
    <xf numFmtId="0" fontId="20" fillId="0" borderId="57" xfId="4" applyFont="1" applyFill="1" applyBorder="1" applyAlignment="1" applyProtection="1">
      <alignment horizontal="center" vertical="center"/>
    </xf>
    <xf numFmtId="0" fontId="20" fillId="0" borderId="58" xfId="4" applyFont="1" applyFill="1" applyBorder="1" applyAlignment="1" applyProtection="1">
      <alignment horizontal="center" vertical="center"/>
    </xf>
    <xf numFmtId="0" fontId="20" fillId="0" borderId="58" xfId="4" applyFont="1" applyFill="1" applyBorder="1" applyAlignment="1" applyProtection="1">
      <alignment horizontal="center" vertical="center" wrapText="1"/>
    </xf>
    <xf numFmtId="0" fontId="20" fillId="0" borderId="59" xfId="4" applyFont="1" applyFill="1" applyBorder="1" applyAlignment="1" applyProtection="1">
      <alignment horizontal="center" vertical="center"/>
    </xf>
    <xf numFmtId="0" fontId="20" fillId="0" borderId="60" xfId="4" applyFont="1" applyFill="1" applyBorder="1" applyAlignment="1" applyProtection="1">
      <alignment horizontal="center" vertical="center"/>
    </xf>
    <xf numFmtId="0" fontId="18" fillId="0" borderId="57" xfId="4" applyFont="1" applyFill="1" applyBorder="1" applyAlignment="1" applyProtection="1">
      <alignment horizontal="left" vertical="center"/>
    </xf>
    <xf numFmtId="0" fontId="18" fillId="0" borderId="58" xfId="4" applyFont="1" applyFill="1" applyBorder="1" applyAlignment="1" applyProtection="1">
      <alignment horizontal="left" vertical="center"/>
    </xf>
    <xf numFmtId="0" fontId="18" fillId="0" borderId="58" xfId="4" applyFont="1" applyBorder="1" applyAlignment="1" applyProtection="1">
      <alignment horizontal="left" vertical="center"/>
      <protection locked="0"/>
    </xf>
    <xf numFmtId="0" fontId="18" fillId="0" borderId="61" xfId="4" applyFont="1" applyBorder="1" applyAlignment="1" applyProtection="1">
      <alignment horizontal="left" vertical="center"/>
      <protection locked="0"/>
    </xf>
    <xf numFmtId="1" fontId="20" fillId="0" borderId="2" xfId="4" applyNumberFormat="1" applyFont="1" applyBorder="1" applyAlignment="1" applyProtection="1">
      <alignment horizontal="center" vertical="center"/>
    </xf>
    <xf numFmtId="1" fontId="20" fillId="0" borderId="4" xfId="4" applyNumberFormat="1" applyFont="1" applyBorder="1" applyAlignment="1" applyProtection="1">
      <alignment horizontal="center" vertical="center"/>
    </xf>
    <xf numFmtId="1" fontId="20" fillId="0" borderId="3" xfId="4" applyNumberFormat="1" applyFont="1" applyBorder="1" applyAlignment="1" applyProtection="1">
      <alignment horizontal="center" vertical="center"/>
    </xf>
    <xf numFmtId="165" fontId="20" fillId="0" borderId="2" xfId="4" applyNumberFormat="1" applyFont="1" applyBorder="1" applyAlignment="1" applyProtection="1">
      <alignment horizontal="center" vertical="center"/>
    </xf>
    <xf numFmtId="165" fontId="20" fillId="0" borderId="3" xfId="4" applyNumberFormat="1" applyFont="1" applyBorder="1" applyAlignment="1" applyProtection="1">
      <alignment horizontal="center" vertical="center"/>
    </xf>
    <xf numFmtId="0" fontId="18" fillId="0" borderId="2" xfId="4" applyNumberFormat="1" applyFont="1" applyBorder="1" applyAlignment="1" applyProtection="1">
      <alignment horizontal="center" vertical="center"/>
    </xf>
    <xf numFmtId="0" fontId="18" fillId="0" borderId="4" xfId="4" applyNumberFormat="1" applyFont="1" applyBorder="1" applyAlignment="1" applyProtection="1">
      <alignment horizontal="center" vertical="center"/>
    </xf>
    <xf numFmtId="0" fontId="18" fillId="0" borderId="3" xfId="4" applyNumberFormat="1" applyFont="1" applyBorder="1" applyAlignment="1" applyProtection="1">
      <alignment horizontal="center" vertical="center"/>
    </xf>
    <xf numFmtId="167" fontId="20" fillId="0" borderId="7" xfId="4" applyNumberFormat="1" applyFont="1" applyBorder="1" applyAlignment="1" applyProtection="1">
      <alignment horizontal="center" vertical="center"/>
    </xf>
    <xf numFmtId="167" fontId="20" fillId="0" borderId="6" xfId="4" applyNumberFormat="1" applyFont="1" applyBorder="1" applyAlignment="1" applyProtection="1">
      <alignment horizontal="center" vertical="center"/>
    </xf>
    <xf numFmtId="167" fontId="20" fillId="0" borderId="9" xfId="4" applyNumberFormat="1" applyFont="1" applyBorder="1" applyAlignment="1" applyProtection="1">
      <alignment horizontal="center" vertical="center"/>
    </xf>
    <xf numFmtId="167" fontId="20" fillId="0" borderId="23" xfId="4" applyNumberFormat="1" applyFont="1" applyBorder="1" applyAlignment="1" applyProtection="1">
      <alignment horizontal="center" vertical="center"/>
    </xf>
    <xf numFmtId="167" fontId="20" fillId="0" borderId="24" xfId="4" applyNumberFormat="1" applyFont="1" applyBorder="1" applyAlignment="1" applyProtection="1">
      <alignment horizontal="center" vertical="center"/>
    </xf>
    <xf numFmtId="167" fontId="20" fillId="0" borderId="25" xfId="4" applyNumberFormat="1" applyFont="1" applyBorder="1" applyAlignment="1" applyProtection="1">
      <alignment horizontal="center" vertical="center"/>
    </xf>
    <xf numFmtId="0" fontId="20" fillId="0" borderId="22" xfId="4" applyFont="1" applyBorder="1" applyAlignment="1" applyProtection="1">
      <alignment horizontal="center" vertical="center"/>
      <protection locked="0"/>
    </xf>
    <xf numFmtId="0" fontId="20" fillId="0" borderId="21" xfId="4" applyFont="1" applyBorder="1" applyAlignment="1" applyProtection="1">
      <alignment horizontal="center" vertical="center"/>
      <protection locked="0"/>
    </xf>
    <xf numFmtId="0" fontId="18" fillId="2" borderId="26" xfId="4" applyFont="1" applyFill="1" applyBorder="1" applyAlignment="1" applyProtection="1">
      <alignment horizontal="center" vertical="center" wrapText="1"/>
    </xf>
    <xf numFmtId="0" fontId="18" fillId="2" borderId="27" xfId="4" applyFont="1" applyFill="1" applyBorder="1" applyAlignment="1" applyProtection="1">
      <alignment horizontal="center" vertical="center" wrapText="1"/>
    </xf>
    <xf numFmtId="0" fontId="18" fillId="2" borderId="13" xfId="4" applyFont="1" applyFill="1" applyBorder="1" applyAlignment="1" applyProtection="1">
      <alignment horizontal="center" vertical="center" wrapText="1"/>
    </xf>
    <xf numFmtId="0" fontId="18" fillId="2" borderId="12" xfId="4" applyFont="1" applyFill="1" applyBorder="1" applyAlignment="1" applyProtection="1">
      <alignment horizontal="center" vertical="center" wrapText="1"/>
    </xf>
    <xf numFmtId="0" fontId="18" fillId="2" borderId="23" xfId="4" applyFont="1" applyFill="1" applyBorder="1" applyAlignment="1" applyProtection="1">
      <alignment horizontal="center" vertical="center" wrapText="1"/>
    </xf>
    <xf numFmtId="0" fontId="18" fillId="2" borderId="25" xfId="4" applyFont="1" applyFill="1" applyBorder="1" applyAlignment="1" applyProtection="1">
      <alignment horizontal="center" vertical="center" wrapText="1"/>
    </xf>
    <xf numFmtId="165" fontId="20" fillId="3" borderId="28" xfId="4" applyNumberFormat="1" applyFont="1" applyFill="1" applyBorder="1" applyAlignment="1" applyProtection="1">
      <alignment horizontal="center" vertical="center"/>
    </xf>
    <xf numFmtId="165" fontId="20" fillId="3" borderId="29" xfId="4" applyNumberFormat="1" applyFont="1" applyFill="1" applyBorder="1" applyAlignment="1" applyProtection="1">
      <alignment horizontal="center" vertical="center"/>
    </xf>
    <xf numFmtId="165" fontId="20" fillId="3" borderId="30" xfId="4" applyNumberFormat="1" applyFont="1" applyFill="1" applyBorder="1" applyAlignment="1" applyProtection="1">
      <alignment horizontal="center" vertical="center"/>
    </xf>
    <xf numFmtId="0" fontId="18" fillId="4" borderId="28" xfId="4" applyFont="1" applyFill="1" applyBorder="1" applyAlignment="1" applyProtection="1">
      <alignment horizontal="center" vertical="center"/>
    </xf>
    <xf numFmtId="0" fontId="18" fillId="4" borderId="29" xfId="4" applyFont="1" applyFill="1" applyBorder="1" applyAlignment="1" applyProtection="1">
      <alignment horizontal="center" vertical="center"/>
    </xf>
    <xf numFmtId="0" fontId="18" fillId="4" borderId="30" xfId="4" applyFont="1" applyFill="1" applyBorder="1" applyAlignment="1" applyProtection="1">
      <alignment horizontal="center" vertical="center"/>
    </xf>
    <xf numFmtId="0" fontId="18" fillId="2" borderId="34" xfId="4" applyFont="1" applyFill="1" applyBorder="1" applyAlignment="1" applyProtection="1">
      <alignment horizontal="center" vertical="center" textRotation="90"/>
    </xf>
    <xf numFmtId="0" fontId="18" fillId="2" borderId="31" xfId="4" applyFont="1" applyFill="1" applyBorder="1" applyAlignment="1" applyProtection="1">
      <alignment horizontal="center" vertical="center" textRotation="90"/>
    </xf>
    <xf numFmtId="0" fontId="18" fillId="4" borderId="28" xfId="4" applyFont="1" applyFill="1" applyBorder="1" applyAlignment="1" applyProtection="1">
      <alignment horizontal="center" vertical="center" wrapText="1"/>
    </xf>
    <xf numFmtId="0" fontId="18" fillId="4" borderId="30" xfId="4" applyFont="1" applyFill="1" applyBorder="1" applyAlignment="1" applyProtection="1">
      <alignment horizontal="center" vertical="center" wrapText="1"/>
    </xf>
    <xf numFmtId="2" fontId="20" fillId="0" borderId="2" xfId="4" applyNumberFormat="1" applyFont="1" applyBorder="1" applyAlignment="1" applyProtection="1">
      <alignment horizontal="center" vertical="center"/>
    </xf>
    <xf numFmtId="2" fontId="20" fillId="0" borderId="4" xfId="4" applyNumberFormat="1" applyFont="1" applyBorder="1" applyAlignment="1" applyProtection="1">
      <alignment horizontal="center" vertical="center"/>
    </xf>
    <xf numFmtId="2" fontId="20" fillId="0" borderId="3" xfId="4" applyNumberFormat="1" applyFont="1" applyBorder="1" applyAlignment="1" applyProtection="1">
      <alignment horizontal="center" vertical="center"/>
    </xf>
    <xf numFmtId="0" fontId="18" fillId="4" borderId="2" xfId="4" applyFont="1" applyFill="1" applyBorder="1" applyAlignment="1" applyProtection="1">
      <alignment horizontal="left" vertical="center" indent="1"/>
    </xf>
    <xf numFmtId="0" fontId="18" fillId="4" borderId="4" xfId="4" applyFont="1" applyFill="1" applyBorder="1" applyAlignment="1" applyProtection="1">
      <alignment horizontal="left" vertical="center" indent="1"/>
    </xf>
    <xf numFmtId="0" fontId="18" fillId="4" borderId="3" xfId="4" applyFont="1" applyFill="1" applyBorder="1" applyAlignment="1" applyProtection="1">
      <alignment horizontal="left" vertical="center" indent="1"/>
    </xf>
    <xf numFmtId="167" fontId="20" fillId="0" borderId="2" xfId="4" applyNumberFormat="1" applyFont="1" applyBorder="1" applyAlignment="1" applyProtection="1">
      <alignment horizontal="center" vertical="center"/>
    </xf>
    <xf numFmtId="167" fontId="20" fillId="0" borderId="3" xfId="4" applyNumberFormat="1" applyFont="1" applyBorder="1" applyAlignment="1" applyProtection="1">
      <alignment horizontal="center" vertical="center"/>
    </xf>
    <xf numFmtId="164" fontId="20" fillId="0" borderId="2" xfId="4" applyNumberFormat="1" applyFont="1" applyBorder="1" applyAlignment="1" applyProtection="1">
      <alignment horizontal="center" vertical="center"/>
    </xf>
    <xf numFmtId="164" fontId="20" fillId="0" borderId="3" xfId="4" applyNumberFormat="1" applyFont="1" applyBorder="1" applyAlignment="1" applyProtection="1">
      <alignment horizontal="center" vertical="center"/>
    </xf>
    <xf numFmtId="0" fontId="18" fillId="2" borderId="8" xfId="4" applyFont="1" applyFill="1" applyBorder="1" applyAlignment="1" applyProtection="1">
      <alignment horizontal="center" vertical="center"/>
    </xf>
    <xf numFmtId="0" fontId="18" fillId="2" borderId="1" xfId="4" applyFont="1" applyFill="1" applyBorder="1" applyAlignment="1" applyProtection="1">
      <alignment horizontal="center" vertical="center"/>
    </xf>
    <xf numFmtId="0" fontId="18" fillId="2" borderId="10" xfId="4" applyFont="1" applyFill="1" applyBorder="1" applyAlignment="1" applyProtection="1">
      <alignment horizontal="center" vertical="center"/>
    </xf>
    <xf numFmtId="164" fontId="20" fillId="0" borderId="8" xfId="4" applyNumberFormat="1" applyFont="1" applyFill="1" applyBorder="1" applyAlignment="1" applyProtection="1">
      <alignment horizontal="center" vertical="center"/>
    </xf>
    <xf numFmtId="164" fontId="20" fillId="0" borderId="10" xfId="4" applyNumberFormat="1" applyFont="1" applyFill="1" applyBorder="1" applyAlignment="1" applyProtection="1">
      <alignment horizontal="center" vertical="center"/>
    </xf>
    <xf numFmtId="164" fontId="20" fillId="0" borderId="22" xfId="4" applyNumberFormat="1" applyFont="1" applyBorder="1" applyAlignment="1" applyProtection="1">
      <alignment horizontal="center" vertical="center"/>
    </xf>
    <xf numFmtId="164" fontId="20" fillId="0" borderId="21" xfId="4" applyNumberFormat="1" applyFont="1" applyBorder="1" applyAlignment="1" applyProtection="1">
      <alignment horizontal="center" vertical="center"/>
    </xf>
    <xf numFmtId="1" fontId="20" fillId="0" borderId="2" xfId="4" applyNumberFormat="1" applyFont="1" applyFill="1" applyBorder="1" applyAlignment="1" applyProtection="1">
      <alignment horizontal="center" vertical="center"/>
    </xf>
    <xf numFmtId="1" fontId="20" fillId="0" borderId="3" xfId="4" applyNumberFormat="1" applyFont="1" applyFill="1" applyBorder="1" applyAlignment="1" applyProtection="1">
      <alignment horizontal="center" vertical="center"/>
    </xf>
    <xf numFmtId="0" fontId="20" fillId="0" borderId="22" xfId="4" applyFont="1" applyFill="1" applyBorder="1" applyAlignment="1" applyProtection="1">
      <alignment horizontal="center" vertical="center"/>
    </xf>
    <xf numFmtId="0" fontId="20" fillId="0" borderId="21" xfId="4" applyFont="1" applyFill="1" applyBorder="1" applyAlignment="1" applyProtection="1">
      <alignment horizontal="center" vertical="center"/>
    </xf>
    <xf numFmtId="0" fontId="18" fillId="2" borderId="2" xfId="4" applyFont="1" applyFill="1" applyBorder="1" applyAlignment="1" applyProtection="1">
      <alignment horizontal="center" vertical="center"/>
    </xf>
    <xf numFmtId="0" fontId="18" fillId="2" borderId="4" xfId="4" applyFont="1" applyFill="1" applyBorder="1" applyAlignment="1" applyProtection="1">
      <alignment horizontal="center" vertical="center"/>
    </xf>
    <xf numFmtId="0" fontId="18" fillId="2" borderId="3" xfId="4" applyFont="1" applyFill="1" applyBorder="1" applyAlignment="1" applyProtection="1">
      <alignment horizontal="center" vertical="center"/>
    </xf>
    <xf numFmtId="164" fontId="20" fillId="0" borderId="2" xfId="4" applyNumberFormat="1" applyFont="1" applyFill="1" applyBorder="1" applyAlignment="1" applyProtection="1">
      <alignment horizontal="center" vertical="center"/>
    </xf>
    <xf numFmtId="164" fontId="20" fillId="0" borderId="3" xfId="4" applyNumberFormat="1" applyFont="1" applyFill="1" applyBorder="1" applyAlignment="1" applyProtection="1">
      <alignment horizontal="center" vertical="center"/>
    </xf>
    <xf numFmtId="0" fontId="18" fillId="2" borderId="22" xfId="4" applyFont="1" applyFill="1" applyBorder="1" applyAlignment="1" applyProtection="1">
      <alignment horizontal="center" vertical="center"/>
    </xf>
    <xf numFmtId="0" fontId="18" fillId="2" borderId="20" xfId="4" applyFont="1" applyFill="1" applyBorder="1" applyAlignment="1" applyProtection="1">
      <alignment horizontal="center" vertical="center"/>
    </xf>
    <xf numFmtId="0" fontId="18" fillId="2" borderId="21" xfId="4" applyFont="1" applyFill="1" applyBorder="1" applyAlignment="1" applyProtection="1">
      <alignment horizontal="center" vertical="center"/>
    </xf>
    <xf numFmtId="0" fontId="18" fillId="4" borderId="2" xfId="4" applyFont="1" applyFill="1" applyBorder="1" applyAlignment="1" applyProtection="1">
      <alignment horizontal="center" vertical="center"/>
    </xf>
    <xf numFmtId="0" fontId="18" fillId="4" borderId="4" xfId="4" applyFont="1" applyFill="1" applyBorder="1" applyAlignment="1" applyProtection="1">
      <alignment horizontal="center" vertical="center"/>
    </xf>
    <xf numFmtId="0" fontId="18" fillId="4" borderId="3" xfId="4" applyFont="1" applyFill="1" applyBorder="1" applyAlignment="1" applyProtection="1">
      <alignment horizontal="center" vertical="center"/>
    </xf>
    <xf numFmtId="0" fontId="18" fillId="4" borderId="22" xfId="4" applyFont="1" applyFill="1" applyBorder="1" applyAlignment="1" applyProtection="1">
      <alignment horizontal="center" vertical="center"/>
    </xf>
    <xf numFmtId="0" fontId="18" fillId="4" borderId="20" xfId="4" applyFont="1" applyFill="1" applyBorder="1" applyAlignment="1" applyProtection="1">
      <alignment horizontal="center" vertical="center"/>
    </xf>
    <xf numFmtId="0" fontId="18" fillId="4" borderId="21" xfId="4" applyFont="1" applyFill="1" applyBorder="1" applyAlignment="1" applyProtection="1">
      <alignment horizontal="center" vertical="center"/>
    </xf>
    <xf numFmtId="0" fontId="20" fillId="0" borderId="5" xfId="4" applyFont="1" applyBorder="1" applyAlignment="1" applyProtection="1">
      <alignment horizontal="center" vertical="center"/>
    </xf>
    <xf numFmtId="168" fontId="20" fillId="0" borderId="5" xfId="4" applyNumberFormat="1" applyFont="1" applyFill="1" applyBorder="1" applyAlignment="1" applyProtection="1">
      <alignment horizontal="center" vertical="center"/>
      <protection locked="0"/>
    </xf>
    <xf numFmtId="1" fontId="20" fillId="0" borderId="5" xfId="4" applyNumberFormat="1" applyFont="1" applyFill="1" applyBorder="1" applyAlignment="1" applyProtection="1">
      <alignment horizontal="center" vertical="center"/>
    </xf>
    <xf numFmtId="0" fontId="20" fillId="0" borderId="5" xfId="4" applyFont="1" applyFill="1" applyBorder="1" applyAlignment="1" applyProtection="1">
      <alignment horizontal="center" vertical="center"/>
    </xf>
    <xf numFmtId="165" fontId="20" fillId="0" borderId="5" xfId="4" applyNumberFormat="1" applyFont="1" applyFill="1" applyBorder="1" applyAlignment="1" applyProtection="1">
      <alignment horizontal="center" vertical="center"/>
    </xf>
    <xf numFmtId="2" fontId="20" fillId="0" borderId="5" xfId="4" applyNumberFormat="1" applyFont="1" applyFill="1" applyBorder="1" applyAlignment="1" applyProtection="1">
      <alignment horizontal="center" vertical="center"/>
    </xf>
    <xf numFmtId="0" fontId="18" fillId="4" borderId="2" xfId="4" applyFont="1" applyFill="1" applyBorder="1" applyAlignment="1" applyProtection="1">
      <alignment horizontal="center" vertical="center" wrapText="1"/>
    </xf>
    <xf numFmtId="0" fontId="18" fillId="4" borderId="3" xfId="4" applyFont="1" applyFill="1" applyBorder="1" applyAlignment="1" applyProtection="1">
      <alignment horizontal="center" vertical="center" wrapText="1"/>
    </xf>
    <xf numFmtId="0" fontId="18" fillId="4" borderId="8" xfId="4" applyFont="1" applyFill="1" applyBorder="1" applyAlignment="1" applyProtection="1">
      <alignment horizontal="center" vertical="center" wrapText="1"/>
    </xf>
    <xf numFmtId="0" fontId="18" fillId="4" borderId="10" xfId="4" applyFont="1" applyFill="1" applyBorder="1" applyAlignment="1" applyProtection="1">
      <alignment horizontal="center" vertical="center" wrapText="1"/>
    </xf>
    <xf numFmtId="0" fontId="18" fillId="4" borderId="26" xfId="4" applyFont="1" applyFill="1" applyBorder="1" applyAlignment="1" applyProtection="1">
      <alignment horizontal="center" vertical="center" wrapText="1"/>
    </xf>
    <xf numFmtId="0" fontId="18" fillId="4" borderId="32" xfId="4" applyFont="1" applyFill="1" applyBorder="1" applyAlignment="1" applyProtection="1">
      <alignment horizontal="center" vertical="center" wrapText="1"/>
    </xf>
    <xf numFmtId="0" fontId="18" fillId="4" borderId="27" xfId="4" applyFont="1" applyFill="1" applyBorder="1" applyAlignment="1" applyProtection="1">
      <alignment horizontal="center" vertical="center" wrapText="1"/>
    </xf>
    <xf numFmtId="0" fontId="18" fillId="4" borderId="1" xfId="4" applyFont="1" applyFill="1" applyBorder="1" applyAlignment="1" applyProtection="1">
      <alignment horizontal="center" vertical="center" wrapText="1"/>
    </xf>
    <xf numFmtId="2" fontId="20" fillId="3" borderId="5" xfId="4" applyNumberFormat="1" applyFont="1" applyFill="1" applyBorder="1" applyAlignment="1" applyProtection="1">
      <alignment horizontal="center" vertical="center"/>
    </xf>
    <xf numFmtId="2" fontId="20" fillId="0" borderId="5" xfId="4" applyNumberFormat="1" applyFont="1" applyBorder="1" applyAlignment="1" applyProtection="1">
      <alignment horizontal="center" vertical="center"/>
    </xf>
    <xf numFmtId="0" fontId="18" fillId="4" borderId="5" xfId="4" applyFont="1" applyFill="1" applyBorder="1" applyAlignment="1" applyProtection="1">
      <alignment horizontal="center" vertical="center"/>
    </xf>
    <xf numFmtId="0" fontId="20" fillId="0" borderId="7" xfId="4" applyFont="1" applyBorder="1" applyAlignment="1" applyProtection="1">
      <alignment horizontal="center" vertical="center" wrapText="1"/>
      <protection locked="0"/>
    </xf>
    <xf numFmtId="0" fontId="20" fillId="0" borderId="6" xfId="4" applyFont="1" applyBorder="1" applyAlignment="1" applyProtection="1">
      <alignment horizontal="center" vertical="center" wrapText="1"/>
      <protection locked="0"/>
    </xf>
    <xf numFmtId="0" fontId="20" fillId="0" borderId="9" xfId="4" applyFont="1" applyBorder="1" applyAlignment="1" applyProtection="1">
      <alignment horizontal="center" vertical="center" wrapText="1"/>
      <protection locked="0"/>
    </xf>
    <xf numFmtId="0" fontId="20" fillId="0" borderId="23" xfId="4" applyFont="1" applyBorder="1" applyAlignment="1" applyProtection="1">
      <alignment horizontal="center" vertical="center" wrapText="1"/>
      <protection locked="0"/>
    </xf>
    <xf numFmtId="0" fontId="20" fillId="0" borderId="24" xfId="4" applyFont="1" applyBorder="1" applyAlignment="1" applyProtection="1">
      <alignment horizontal="center" vertical="center" wrapText="1"/>
      <protection locked="0"/>
    </xf>
    <xf numFmtId="0" fontId="20" fillId="0" borderId="25" xfId="4" applyFont="1" applyBorder="1" applyAlignment="1" applyProtection="1">
      <alignment horizontal="center" vertical="center" wrapText="1"/>
      <protection locked="0"/>
    </xf>
    <xf numFmtId="0" fontId="18" fillId="4" borderId="5" xfId="4" applyFont="1" applyFill="1" applyBorder="1" applyAlignment="1" applyProtection="1">
      <alignment horizontal="center" vertical="center" wrapText="1"/>
    </xf>
    <xf numFmtId="0" fontId="18" fillId="2" borderId="26" xfId="4" applyFont="1" applyFill="1" applyBorder="1" applyAlignment="1" applyProtection="1">
      <alignment horizontal="center" vertical="center" textRotation="90" wrapText="1"/>
    </xf>
    <xf numFmtId="0" fontId="18" fillId="2" borderId="13" xfId="4" applyFont="1" applyFill="1" applyBorder="1" applyAlignment="1" applyProtection="1">
      <alignment horizontal="center" vertical="center" textRotation="90" wrapText="1"/>
    </xf>
    <xf numFmtId="0" fontId="20" fillId="0" borderId="23" xfId="4" applyFont="1" applyBorder="1" applyAlignment="1" applyProtection="1">
      <alignment horizontal="center" vertical="center"/>
      <protection locked="0"/>
    </xf>
    <xf numFmtId="0" fontId="20" fillId="0" borderId="24" xfId="4" applyFont="1" applyBorder="1" applyAlignment="1" applyProtection="1">
      <alignment horizontal="center" vertical="center"/>
      <protection locked="0"/>
    </xf>
    <xf numFmtId="0" fontId="20" fillId="0" borderId="25" xfId="4" applyFont="1" applyBorder="1" applyAlignment="1" applyProtection="1">
      <alignment horizontal="center" vertical="center"/>
      <protection locked="0"/>
    </xf>
    <xf numFmtId="1" fontId="20" fillId="0" borderId="7" xfId="4" applyNumberFormat="1" applyFont="1" applyBorder="1" applyAlignment="1" applyProtection="1">
      <alignment horizontal="center" vertical="center"/>
      <protection locked="0"/>
    </xf>
    <xf numFmtId="1" fontId="20" fillId="0" borderId="6" xfId="4" applyNumberFormat="1" applyFont="1" applyBorder="1" applyAlignment="1" applyProtection="1">
      <alignment horizontal="center" vertical="center"/>
      <protection locked="0"/>
    </xf>
    <xf numFmtId="1" fontId="20" fillId="0" borderId="9" xfId="4" applyNumberFormat="1" applyFont="1" applyBorder="1" applyAlignment="1" applyProtection="1">
      <alignment horizontal="center" vertical="center"/>
      <protection locked="0"/>
    </xf>
    <xf numFmtId="1" fontId="20" fillId="0" borderId="23" xfId="4" applyNumberFormat="1" applyFont="1" applyBorder="1" applyAlignment="1" applyProtection="1">
      <alignment horizontal="center" vertical="center"/>
      <protection locked="0"/>
    </xf>
    <xf numFmtId="1" fontId="20" fillId="0" borderId="24" xfId="4" applyNumberFormat="1" applyFont="1" applyBorder="1" applyAlignment="1" applyProtection="1">
      <alignment horizontal="center" vertical="center"/>
      <protection locked="0"/>
    </xf>
    <xf numFmtId="1" fontId="20" fillId="0" borderId="25" xfId="4" applyNumberFormat="1" applyFont="1" applyBorder="1" applyAlignment="1" applyProtection="1">
      <alignment horizontal="center" vertical="center"/>
      <protection locked="0"/>
    </xf>
    <xf numFmtId="174" fontId="20" fillId="0" borderId="7" xfId="4" applyNumberFormat="1" applyFont="1" applyBorder="1" applyAlignment="1" applyProtection="1">
      <alignment horizontal="center" vertical="center"/>
    </xf>
    <xf numFmtId="174" fontId="20" fillId="0" borderId="6" xfId="4" applyNumberFormat="1" applyFont="1" applyBorder="1" applyAlignment="1" applyProtection="1">
      <alignment horizontal="center" vertical="center"/>
    </xf>
    <xf numFmtId="174" fontId="20" fillId="0" borderId="9" xfId="4" applyNumberFormat="1" applyFont="1" applyBorder="1" applyAlignment="1" applyProtection="1">
      <alignment horizontal="center" vertical="center"/>
    </xf>
    <xf numFmtId="174" fontId="20" fillId="0" borderId="23" xfId="4" applyNumberFormat="1" applyFont="1" applyBorder="1" applyAlignment="1" applyProtection="1">
      <alignment horizontal="center" vertical="center"/>
    </xf>
    <xf numFmtId="174" fontId="20" fillId="0" borderId="24" xfId="4" applyNumberFormat="1" applyFont="1" applyBorder="1" applyAlignment="1" applyProtection="1">
      <alignment horizontal="center" vertical="center"/>
    </xf>
    <xf numFmtId="174" fontId="20" fillId="0" borderId="25" xfId="4" applyNumberFormat="1" applyFont="1" applyBorder="1" applyAlignment="1" applyProtection="1">
      <alignment horizontal="center" vertical="center"/>
    </xf>
    <xf numFmtId="1" fontId="20" fillId="0" borderId="33" xfId="4" applyNumberFormat="1" applyFont="1" applyBorder="1" applyAlignment="1" applyProtection="1">
      <alignment horizontal="center" vertical="center"/>
      <protection locked="0"/>
    </xf>
    <xf numFmtId="171" fontId="20" fillId="0" borderId="2" xfId="4" applyNumberFormat="1" applyFont="1" applyFill="1" applyBorder="1" applyAlignment="1" applyProtection="1">
      <alignment horizontal="center" vertical="center"/>
    </xf>
    <xf numFmtId="171" fontId="20" fillId="0" borderId="3" xfId="4" applyNumberFormat="1" applyFont="1" applyFill="1" applyBorder="1" applyAlignment="1" applyProtection="1">
      <alignment horizontal="center" vertical="center"/>
    </xf>
    <xf numFmtId="166" fontId="20" fillId="0" borderId="2" xfId="4" applyNumberFormat="1" applyFont="1" applyFill="1" applyBorder="1" applyAlignment="1" applyProtection="1">
      <alignment horizontal="center" vertical="center"/>
    </xf>
    <xf numFmtId="166" fontId="20" fillId="0" borderId="4" xfId="4" applyNumberFormat="1" applyFont="1" applyFill="1" applyBorder="1" applyAlignment="1" applyProtection="1">
      <alignment horizontal="center" vertical="center"/>
    </xf>
    <xf numFmtId="166" fontId="20" fillId="0" borderId="3" xfId="4" applyNumberFormat="1" applyFont="1" applyFill="1" applyBorder="1" applyAlignment="1" applyProtection="1">
      <alignment horizontal="center" vertical="center"/>
    </xf>
    <xf numFmtId="168" fontId="20" fillId="0" borderId="2" xfId="4" applyNumberFormat="1" applyFont="1" applyFill="1" applyBorder="1" applyAlignment="1" applyProtection="1">
      <alignment horizontal="center" vertical="center"/>
    </xf>
    <xf numFmtId="168" fontId="20" fillId="0" borderId="4" xfId="4" applyNumberFormat="1" applyFont="1" applyFill="1" applyBorder="1" applyAlignment="1" applyProtection="1">
      <alignment horizontal="center" vertical="center"/>
    </xf>
    <xf numFmtId="168" fontId="20" fillId="0" borderId="3" xfId="4" applyNumberFormat="1" applyFont="1" applyFill="1" applyBorder="1" applyAlignment="1" applyProtection="1">
      <alignment horizontal="center" vertical="center"/>
    </xf>
    <xf numFmtId="169" fontId="20" fillId="0" borderId="2" xfId="4" applyNumberFormat="1" applyFont="1" applyFill="1" applyBorder="1" applyAlignment="1" applyProtection="1">
      <alignment horizontal="center" vertical="center"/>
    </xf>
    <xf numFmtId="169" fontId="20" fillId="0" borderId="4" xfId="4" applyNumberFormat="1" applyFont="1" applyFill="1" applyBorder="1" applyAlignment="1" applyProtection="1">
      <alignment horizontal="center" vertical="center"/>
    </xf>
    <xf numFmtId="169" fontId="20" fillId="0" borderId="7" xfId="4" applyNumberFormat="1" applyFont="1" applyFill="1" applyBorder="1" applyAlignment="1" applyProtection="1">
      <alignment horizontal="center" vertical="center"/>
    </xf>
    <xf numFmtId="169" fontId="20" fillId="0" borderId="6" xfId="4" applyNumberFormat="1" applyFont="1" applyFill="1" applyBorder="1" applyAlignment="1" applyProtection="1">
      <alignment horizontal="center" vertical="center"/>
    </xf>
    <xf numFmtId="169" fontId="20" fillId="0" borderId="9" xfId="4" applyNumberFormat="1" applyFont="1" applyFill="1" applyBorder="1" applyAlignment="1" applyProtection="1">
      <alignment horizontal="center" vertical="center"/>
    </xf>
    <xf numFmtId="170" fontId="20" fillId="0" borderId="2" xfId="4" applyNumberFormat="1" applyFont="1" applyFill="1" applyBorder="1" applyAlignment="1" applyProtection="1">
      <alignment horizontal="center" vertical="center"/>
    </xf>
    <xf numFmtId="170" fontId="20" fillId="0" borderId="4" xfId="4" applyNumberFormat="1" applyFont="1" applyFill="1" applyBorder="1" applyAlignment="1" applyProtection="1">
      <alignment horizontal="center" vertical="center"/>
    </xf>
    <xf numFmtId="170" fontId="20" fillId="0" borderId="3" xfId="4" applyNumberFormat="1" applyFont="1" applyFill="1" applyBorder="1" applyAlignment="1" applyProtection="1">
      <alignment horizontal="center" vertical="center"/>
    </xf>
    <xf numFmtId="173" fontId="20" fillId="0" borderId="2" xfId="4" applyNumberFormat="1" applyFont="1" applyFill="1" applyBorder="1" applyAlignment="1" applyProtection="1">
      <alignment horizontal="center" vertical="center"/>
    </xf>
    <xf numFmtId="173" fontId="20" fillId="0" borderId="3" xfId="4" applyNumberFormat="1" applyFont="1" applyFill="1" applyBorder="1" applyAlignment="1" applyProtection="1">
      <alignment horizontal="center" vertical="center"/>
    </xf>
    <xf numFmtId="0" fontId="18" fillId="4" borderId="29" xfId="4" applyFont="1" applyFill="1" applyBorder="1" applyAlignment="1" applyProtection="1">
      <alignment horizontal="center" vertical="center" wrapText="1"/>
    </xf>
    <xf numFmtId="0" fontId="18" fillId="0" borderId="26" xfId="4" applyFont="1" applyFill="1" applyBorder="1" applyAlignment="1" applyProtection="1">
      <alignment horizontal="center" vertical="center"/>
    </xf>
    <xf numFmtId="0" fontId="18" fillId="0" borderId="32" xfId="4" applyFont="1" applyFill="1" applyBorder="1" applyAlignment="1" applyProtection="1">
      <alignment horizontal="center" vertical="center"/>
    </xf>
    <xf numFmtId="0" fontId="18" fillId="0" borderId="8" xfId="4" applyFont="1" applyFill="1" applyBorder="1" applyAlignment="1" applyProtection="1">
      <alignment horizontal="center" vertical="center"/>
    </xf>
    <xf numFmtId="0" fontId="18" fillId="0" borderId="1" xfId="4" applyFont="1" applyFill="1" applyBorder="1" applyAlignment="1" applyProtection="1">
      <alignment horizontal="center" vertical="center"/>
    </xf>
    <xf numFmtId="0" fontId="18" fillId="0" borderId="32" xfId="4" applyFont="1" applyFill="1" applyBorder="1" applyAlignment="1" applyProtection="1">
      <alignment horizontal="center" vertical="center"/>
      <protection locked="0"/>
    </xf>
    <xf numFmtId="0" fontId="18" fillId="0" borderId="27" xfId="4" applyFont="1" applyFill="1" applyBorder="1" applyAlignment="1" applyProtection="1">
      <alignment horizontal="center" vertical="center"/>
      <protection locked="0"/>
    </xf>
    <xf numFmtId="0" fontId="18" fillId="0" borderId="1" xfId="4" applyFont="1" applyFill="1" applyBorder="1" applyAlignment="1" applyProtection="1">
      <alignment horizontal="center" vertical="center"/>
      <protection locked="0"/>
    </xf>
    <xf numFmtId="0" fontId="18" fillId="0" borderId="10" xfId="4" applyFont="1" applyFill="1" applyBorder="1" applyAlignment="1" applyProtection="1">
      <alignment horizontal="center" vertical="center"/>
      <protection locked="0"/>
    </xf>
    <xf numFmtId="0" fontId="18" fillId="0" borderId="6" xfId="4" applyFont="1" applyBorder="1" applyAlignment="1" applyProtection="1">
      <alignment horizontal="right" vertical="center"/>
    </xf>
    <xf numFmtId="0" fontId="18" fillId="0" borderId="9" xfId="4" applyFont="1" applyBorder="1" applyAlignment="1" applyProtection="1">
      <alignment horizontal="right" vertical="center"/>
    </xf>
    <xf numFmtId="0" fontId="18" fillId="2" borderId="32" xfId="4" applyFont="1" applyFill="1" applyBorder="1" applyAlignment="1" applyProtection="1">
      <alignment horizontal="center" vertical="center" wrapText="1"/>
    </xf>
    <xf numFmtId="0" fontId="18" fillId="2" borderId="0" xfId="4" applyFont="1" applyFill="1" applyBorder="1" applyAlignment="1" applyProtection="1">
      <alignment horizontal="center" vertical="center" wrapText="1"/>
    </xf>
    <xf numFmtId="2" fontId="20" fillId="0" borderId="22" xfId="4" applyNumberFormat="1" applyFont="1" applyBorder="1" applyAlignment="1" applyProtection="1">
      <alignment horizontal="center" vertical="center"/>
    </xf>
    <xf numFmtId="2" fontId="20" fillId="0" borderId="20" xfId="4" applyNumberFormat="1" applyFont="1" applyBorder="1" applyAlignment="1" applyProtection="1">
      <alignment horizontal="center" vertical="center"/>
    </xf>
    <xf numFmtId="2" fontId="20" fillId="0" borderId="21" xfId="4" applyNumberFormat="1" applyFont="1" applyBorder="1" applyAlignment="1" applyProtection="1">
      <alignment horizontal="center" vertical="center"/>
    </xf>
    <xf numFmtId="0" fontId="18" fillId="4" borderId="7" xfId="4" applyFont="1" applyFill="1" applyBorder="1" applyAlignment="1" applyProtection="1">
      <alignment horizontal="center" vertical="center" wrapText="1"/>
    </xf>
    <xf numFmtId="0" fontId="18" fillId="4" borderId="9" xfId="4" applyFont="1" applyFill="1" applyBorder="1" applyAlignment="1" applyProtection="1">
      <alignment horizontal="center" vertical="center" wrapText="1"/>
    </xf>
    <xf numFmtId="165" fontId="18" fillId="4" borderId="22" xfId="4" applyNumberFormat="1" applyFont="1" applyFill="1" applyBorder="1" applyAlignment="1" applyProtection="1">
      <alignment horizontal="right" vertical="center"/>
    </xf>
    <xf numFmtId="165" fontId="18" fillId="4" borderId="20" xfId="4" applyNumberFormat="1" applyFont="1" applyFill="1" applyBorder="1" applyAlignment="1" applyProtection="1">
      <alignment horizontal="right" vertical="center"/>
    </xf>
    <xf numFmtId="165" fontId="18" fillId="4" borderId="21" xfId="4" applyNumberFormat="1" applyFont="1" applyFill="1" applyBorder="1" applyAlignment="1" applyProtection="1">
      <alignment horizontal="right" vertical="center"/>
    </xf>
    <xf numFmtId="164" fontId="18" fillId="4" borderId="7" xfId="4" applyNumberFormat="1" applyFont="1" applyFill="1" applyBorder="1" applyAlignment="1" applyProtection="1">
      <alignment horizontal="center" vertical="center"/>
    </xf>
    <xf numFmtId="164" fontId="18" fillId="4" borderId="9" xfId="4" applyNumberFormat="1" applyFont="1" applyFill="1" applyBorder="1" applyAlignment="1" applyProtection="1">
      <alignment horizontal="center" vertical="center"/>
    </xf>
    <xf numFmtId="0" fontId="20" fillId="0" borderId="2" xfId="4" applyNumberFormat="1" applyFont="1" applyBorder="1" applyAlignment="1" applyProtection="1">
      <alignment horizontal="center" vertical="center"/>
      <protection locked="0"/>
    </xf>
    <xf numFmtId="0" fontId="20" fillId="0" borderId="3" xfId="4" applyNumberFormat="1" applyFont="1" applyBorder="1" applyAlignment="1" applyProtection="1">
      <alignment horizontal="center" vertical="center"/>
      <protection locked="0"/>
    </xf>
    <xf numFmtId="164" fontId="20" fillId="0" borderId="2" xfId="4" applyNumberFormat="1" applyFont="1" applyBorder="1" applyAlignment="1" applyProtection="1">
      <alignment horizontal="center" vertical="center"/>
      <protection locked="0"/>
    </xf>
    <xf numFmtId="164" fontId="20" fillId="0" borderId="3" xfId="4" applyNumberFormat="1" applyFont="1" applyBorder="1" applyAlignment="1" applyProtection="1">
      <alignment horizontal="center" vertical="center"/>
      <protection locked="0"/>
    </xf>
    <xf numFmtId="0" fontId="18" fillId="4" borderId="6" xfId="4" applyFont="1" applyFill="1" applyBorder="1" applyAlignment="1" applyProtection="1">
      <alignment horizontal="center" vertical="center" wrapText="1"/>
    </xf>
    <xf numFmtId="0" fontId="18" fillId="4" borderId="23" xfId="4" applyFont="1" applyFill="1" applyBorder="1" applyAlignment="1" applyProtection="1">
      <alignment horizontal="center" vertical="center" wrapText="1"/>
    </xf>
    <xf numFmtId="0" fontId="18" fillId="4" borderId="24" xfId="4" applyFont="1" applyFill="1" applyBorder="1" applyAlignment="1" applyProtection="1">
      <alignment horizontal="center" vertical="center" wrapText="1"/>
    </xf>
    <xf numFmtId="0" fontId="18" fillId="4" borderId="25" xfId="4" applyFont="1" applyFill="1" applyBorder="1" applyAlignment="1" applyProtection="1">
      <alignment horizontal="center" vertical="center" wrapText="1"/>
    </xf>
    <xf numFmtId="0" fontId="18" fillId="0" borderId="22" xfId="4" applyFont="1" applyBorder="1" applyAlignment="1" applyProtection="1">
      <alignment horizontal="center" vertical="center"/>
    </xf>
    <xf numFmtId="0" fontId="18" fillId="0" borderId="20" xfId="4" applyFont="1" applyBorder="1" applyAlignment="1" applyProtection="1">
      <alignment horizontal="center" vertical="center"/>
    </xf>
    <xf numFmtId="0" fontId="18" fillId="0" borderId="21" xfId="4" applyFont="1" applyBorder="1" applyAlignment="1" applyProtection="1">
      <alignment horizontal="center" vertical="center"/>
    </xf>
    <xf numFmtId="167" fontId="20" fillId="0" borderId="4" xfId="4" applyNumberFormat="1" applyFont="1" applyBorder="1" applyAlignment="1" applyProtection="1">
      <alignment horizontal="center" vertical="center"/>
    </xf>
    <xf numFmtId="0" fontId="18" fillId="4" borderId="22" xfId="4" applyFont="1" applyFill="1" applyBorder="1" applyAlignment="1" applyProtection="1">
      <alignment horizontal="left" vertical="center" indent="1"/>
    </xf>
    <xf numFmtId="0" fontId="18" fillId="4" borderId="20" xfId="4" applyFont="1" applyFill="1" applyBorder="1" applyAlignment="1" applyProtection="1">
      <alignment horizontal="left" vertical="center" indent="1"/>
    </xf>
    <xf numFmtId="0" fontId="18" fillId="4" borderId="21" xfId="4" applyFont="1" applyFill="1" applyBorder="1" applyAlignment="1" applyProtection="1">
      <alignment horizontal="left" vertical="center" indent="1"/>
    </xf>
    <xf numFmtId="165" fontId="20" fillId="0" borderId="22" xfId="4" applyNumberFormat="1" applyFont="1" applyFill="1" applyBorder="1" applyAlignment="1" applyProtection="1">
      <alignment horizontal="center" vertical="center"/>
    </xf>
    <xf numFmtId="165" fontId="20" fillId="0" borderId="21" xfId="4" applyNumberFormat="1" applyFont="1" applyFill="1" applyBorder="1" applyAlignment="1" applyProtection="1">
      <alignment horizontal="center" vertical="center"/>
    </xf>
    <xf numFmtId="2" fontId="33" fillId="0" borderId="17" xfId="0" applyNumberFormat="1" applyFont="1" applyFill="1" applyBorder="1" applyAlignment="1" applyProtection="1">
      <alignment horizontal="left" vertical="center" wrapText="1"/>
    </xf>
    <xf numFmtId="2" fontId="33" fillId="0" borderId="19" xfId="0" applyNumberFormat="1" applyFont="1" applyFill="1" applyBorder="1" applyAlignment="1" applyProtection="1">
      <alignment horizontal="left" vertical="center" wrapText="1"/>
    </xf>
    <xf numFmtId="2" fontId="33" fillId="0" borderId="24" xfId="0" applyNumberFormat="1" applyFont="1" applyFill="1" applyBorder="1" applyAlignment="1" applyProtection="1">
      <alignment horizontal="left" vertical="center" wrapText="1"/>
    </xf>
    <xf numFmtId="2" fontId="33" fillId="0" borderId="25" xfId="0" applyNumberFormat="1" applyFont="1" applyFill="1" applyBorder="1" applyAlignment="1" applyProtection="1">
      <alignment horizontal="left" vertical="center" wrapText="1"/>
    </xf>
    <xf numFmtId="2" fontId="33" fillId="0" borderId="38" xfId="0" applyNumberFormat="1" applyFont="1" applyFill="1" applyBorder="1" applyAlignment="1" applyProtection="1">
      <alignment horizontal="left" vertical="center" wrapText="1"/>
    </xf>
    <xf numFmtId="2" fontId="33" fillId="0" borderId="39" xfId="0" applyNumberFormat="1" applyFont="1" applyFill="1" applyBorder="1" applyAlignment="1" applyProtection="1">
      <alignment horizontal="left" vertical="center" wrapText="1"/>
    </xf>
    <xf numFmtId="0" fontId="10" fillId="0" borderId="2" xfId="0" applyFont="1" applyFill="1" applyBorder="1" applyAlignment="1" applyProtection="1">
      <alignment horizontal="left" vertical="center"/>
    </xf>
    <xf numFmtId="0" fontId="10" fillId="0" borderId="4" xfId="0" applyFont="1" applyFill="1" applyBorder="1" applyAlignment="1" applyProtection="1">
      <alignment horizontal="left" vertical="center"/>
    </xf>
    <xf numFmtId="0" fontId="10" fillId="0" borderId="3" xfId="0" applyFont="1" applyFill="1" applyBorder="1" applyAlignment="1" applyProtection="1">
      <alignment horizontal="left" vertical="center"/>
    </xf>
    <xf numFmtId="165" fontId="10" fillId="0" borderId="2" xfId="0" applyNumberFormat="1" applyFont="1" applyFill="1" applyBorder="1" applyAlignment="1" applyProtection="1">
      <alignment horizontal="left"/>
    </xf>
    <xf numFmtId="165" fontId="10" fillId="0" borderId="3" xfId="0" applyNumberFormat="1" applyFont="1" applyFill="1" applyBorder="1" applyAlignment="1" applyProtection="1">
      <alignment horizontal="left"/>
    </xf>
    <xf numFmtId="0" fontId="10" fillId="0" borderId="2" xfId="0" applyFont="1" applyFill="1" applyBorder="1" applyAlignment="1" applyProtection="1">
      <alignment horizontal="left"/>
    </xf>
    <xf numFmtId="0" fontId="10" fillId="0" borderId="3" xfId="0" applyFont="1" applyFill="1" applyBorder="1" applyAlignment="1" applyProtection="1">
      <alignment horizontal="left"/>
    </xf>
    <xf numFmtId="2" fontId="10" fillId="0" borderId="2" xfId="0" applyNumberFormat="1" applyFont="1" applyFill="1" applyBorder="1" applyAlignment="1" applyProtection="1">
      <alignment horizontal="left"/>
    </xf>
    <xf numFmtId="2" fontId="10" fillId="0" borderId="3" xfId="0" applyNumberFormat="1" applyFont="1" applyFill="1" applyBorder="1" applyAlignment="1" applyProtection="1">
      <alignment horizontal="left"/>
    </xf>
    <xf numFmtId="0" fontId="15" fillId="0" borderId="8" xfId="0" applyFont="1" applyBorder="1" applyAlignment="1" applyProtection="1">
      <alignment horizontal="center" vertical="center"/>
    </xf>
    <xf numFmtId="0" fontId="15" fillId="0" borderId="1" xfId="0" applyFont="1" applyBorder="1" applyAlignment="1" applyProtection="1">
      <alignment horizontal="center" vertical="center"/>
    </xf>
    <xf numFmtId="0" fontId="15" fillId="0" borderId="10" xfId="0" applyFont="1" applyBorder="1" applyAlignment="1" applyProtection="1">
      <alignment horizontal="center" vertical="center"/>
    </xf>
    <xf numFmtId="165" fontId="14" fillId="0" borderId="14" xfId="0" applyNumberFormat="1" applyFont="1" applyFill="1" applyBorder="1" applyAlignment="1" applyProtection="1">
      <alignment horizontal="center" vertical="center"/>
    </xf>
    <xf numFmtId="165" fontId="14" fillId="0" borderId="15" xfId="0" applyNumberFormat="1" applyFont="1" applyFill="1" applyBorder="1" applyAlignment="1" applyProtection="1">
      <alignment horizontal="center" vertical="center"/>
    </xf>
    <xf numFmtId="165" fontId="14" fillId="0" borderId="11" xfId="0" applyNumberFormat="1" applyFont="1" applyFill="1" applyBorder="1" applyAlignment="1" applyProtection="1">
      <alignment horizontal="center" vertical="center"/>
    </xf>
    <xf numFmtId="2" fontId="14" fillId="0" borderId="14" xfId="0" applyNumberFormat="1" applyFont="1" applyFill="1" applyBorder="1" applyAlignment="1" applyProtection="1">
      <alignment horizontal="center" vertical="center"/>
    </xf>
    <xf numFmtId="2" fontId="14" fillId="0" borderId="15" xfId="0" applyNumberFormat="1" applyFont="1" applyFill="1" applyBorder="1" applyAlignment="1" applyProtection="1">
      <alignment horizontal="center" vertical="center"/>
    </xf>
    <xf numFmtId="2" fontId="14" fillId="0" borderId="11" xfId="0" applyNumberFormat="1" applyFont="1" applyFill="1" applyBorder="1" applyAlignment="1" applyProtection="1">
      <alignment horizontal="center" vertical="center"/>
    </xf>
    <xf numFmtId="164" fontId="14" fillId="0" borderId="14" xfId="0" applyNumberFormat="1" applyFont="1" applyFill="1" applyBorder="1" applyAlignment="1" applyProtection="1">
      <alignment horizontal="center" vertical="center"/>
    </xf>
    <xf numFmtId="164" fontId="14" fillId="0" borderId="15" xfId="0" applyNumberFormat="1" applyFont="1" applyFill="1" applyBorder="1" applyAlignment="1" applyProtection="1">
      <alignment horizontal="center" vertical="center"/>
    </xf>
    <xf numFmtId="164" fontId="14" fillId="0" borderId="11" xfId="0" applyNumberFormat="1" applyFont="1" applyFill="1" applyBorder="1" applyAlignment="1" applyProtection="1">
      <alignment horizontal="center" vertical="center"/>
    </xf>
    <xf numFmtId="0" fontId="25" fillId="4" borderId="5" xfId="0" applyFont="1" applyFill="1" applyBorder="1" applyAlignment="1" applyProtection="1">
      <alignment horizontal="center" vertical="center"/>
    </xf>
    <xf numFmtId="0" fontId="26" fillId="4" borderId="7" xfId="0" applyFont="1" applyFill="1" applyBorder="1" applyAlignment="1" applyProtection="1">
      <alignment horizontal="center"/>
    </xf>
    <xf numFmtId="0" fontId="26" fillId="4" borderId="9" xfId="0" applyFont="1" applyFill="1" applyBorder="1" applyAlignment="1" applyProtection="1">
      <alignment horizontal="center"/>
    </xf>
    <xf numFmtId="0" fontId="26" fillId="4" borderId="13" xfId="0" applyFont="1" applyFill="1" applyBorder="1" applyAlignment="1" applyProtection="1">
      <alignment horizontal="center"/>
    </xf>
    <xf numFmtId="0" fontId="26" fillId="4" borderId="12" xfId="0" applyFont="1" applyFill="1" applyBorder="1" applyAlignment="1" applyProtection="1">
      <alignment horizontal="center"/>
    </xf>
    <xf numFmtId="164" fontId="10" fillId="0" borderId="2" xfId="0" applyNumberFormat="1" applyFont="1" applyFill="1" applyBorder="1" applyAlignment="1" applyProtection="1">
      <alignment horizontal="left"/>
    </xf>
    <xf numFmtId="164" fontId="10" fillId="0" borderId="3" xfId="0" applyNumberFormat="1" applyFont="1" applyFill="1" applyBorder="1" applyAlignment="1" applyProtection="1">
      <alignment horizontal="left"/>
    </xf>
    <xf numFmtId="0" fontId="25" fillId="4" borderId="7" xfId="0" applyFont="1" applyFill="1" applyBorder="1" applyAlignment="1" applyProtection="1">
      <alignment horizontal="center" vertical="center"/>
    </xf>
    <xf numFmtId="0" fontId="25" fillId="4" borderId="6" xfId="0" applyFont="1" applyFill="1" applyBorder="1" applyAlignment="1" applyProtection="1">
      <alignment horizontal="center" vertical="center"/>
    </xf>
    <xf numFmtId="0" fontId="25" fillId="4" borderId="9" xfId="0" applyFont="1" applyFill="1" applyBorder="1" applyAlignment="1" applyProtection="1">
      <alignment horizontal="center" vertical="center"/>
    </xf>
    <xf numFmtId="0" fontId="25" fillId="4" borderId="8" xfId="0" applyFont="1" applyFill="1" applyBorder="1" applyAlignment="1" applyProtection="1">
      <alignment horizontal="center" vertical="center"/>
    </xf>
    <xf numFmtId="0" fontId="25" fillId="4" borderId="1" xfId="0" applyFont="1" applyFill="1" applyBorder="1" applyAlignment="1" applyProtection="1">
      <alignment horizontal="center" vertical="center"/>
    </xf>
    <xf numFmtId="0" fontId="25" fillId="4" borderId="10" xfId="0" applyFont="1" applyFill="1" applyBorder="1" applyAlignment="1" applyProtection="1">
      <alignment horizontal="center" vertical="center"/>
    </xf>
    <xf numFmtId="0" fontId="25" fillId="4" borderId="14" xfId="0" applyFont="1" applyFill="1" applyBorder="1" applyAlignment="1" applyProtection="1">
      <alignment horizontal="center" vertical="center" wrapText="1"/>
    </xf>
    <xf numFmtId="0" fontId="25" fillId="4" borderId="11" xfId="0" applyFont="1" applyFill="1" applyBorder="1" applyAlignment="1" applyProtection="1">
      <alignment horizontal="center" vertical="center" wrapText="1"/>
    </xf>
    <xf numFmtId="0" fontId="25" fillId="4" borderId="14" xfId="0" applyFont="1" applyFill="1" applyBorder="1" applyAlignment="1" applyProtection="1">
      <alignment horizontal="center" vertical="center"/>
    </xf>
    <xf numFmtId="0" fontId="25" fillId="4" borderId="11" xfId="0" applyFont="1" applyFill="1" applyBorder="1" applyAlignment="1" applyProtection="1">
      <alignment horizontal="center" vertical="center"/>
    </xf>
    <xf numFmtId="0" fontId="19" fillId="0" borderId="4" xfId="0" applyFont="1" applyFill="1" applyBorder="1" applyAlignment="1" applyProtection="1">
      <alignment horizontal="center"/>
    </xf>
    <xf numFmtId="0" fontId="19" fillId="0" borderId="3" xfId="0" applyFont="1" applyFill="1" applyBorder="1" applyAlignment="1" applyProtection="1">
      <alignment horizontal="center"/>
    </xf>
    <xf numFmtId="14" fontId="14" fillId="0" borderId="1" xfId="0" applyNumberFormat="1" applyFont="1" applyBorder="1" applyAlignment="1" applyProtection="1">
      <alignment horizontal="left" vertical="center"/>
    </xf>
    <xf numFmtId="0" fontId="25" fillId="4" borderId="15" xfId="0" applyFont="1" applyFill="1" applyBorder="1" applyAlignment="1" applyProtection="1">
      <alignment horizontal="center" vertical="center"/>
    </xf>
    <xf numFmtId="0" fontId="25" fillId="4" borderId="13" xfId="0" applyFont="1" applyFill="1" applyBorder="1" applyAlignment="1" applyProtection="1">
      <alignment horizontal="center" vertical="center" wrapText="1"/>
    </xf>
    <xf numFmtId="0" fontId="25" fillId="4" borderId="12" xfId="0" applyFont="1" applyFill="1" applyBorder="1" applyAlignment="1" applyProtection="1">
      <alignment horizontal="center" vertical="center" wrapText="1"/>
    </xf>
    <xf numFmtId="0" fontId="25" fillId="4" borderId="0" xfId="0" applyFont="1" applyFill="1" applyBorder="1" applyAlignment="1" applyProtection="1">
      <alignment horizontal="center" vertical="center" wrapText="1"/>
    </xf>
    <xf numFmtId="14" fontId="14" fillId="0" borderId="0" xfId="0" applyNumberFormat="1" applyFont="1" applyBorder="1" applyAlignment="1" applyProtection="1">
      <alignment horizontal="left" vertical="center"/>
    </xf>
  </cellXfs>
  <cellStyles count="12">
    <cellStyle name="Comma0" xfId="5"/>
    <cellStyle name="Currency0" xfId="6"/>
    <cellStyle name="Date" xfId="7"/>
    <cellStyle name="Fixed" xfId="2"/>
    <cellStyle name="HEADING1" xfId="8"/>
    <cellStyle name="HEADING2" xfId="9"/>
    <cellStyle name="Normal" xfId="0" builtinId="0"/>
    <cellStyle name="Normal 2" xfId="3"/>
    <cellStyle name="Normal 3" xfId="4"/>
    <cellStyle name="Normal 4" xfId="11"/>
    <cellStyle name="Yüzde" xfId="1" builtinId="5"/>
    <cellStyle name="Yüzde 2" xfId="10"/>
  </cellStyles>
  <dxfs count="16"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auto="1"/>
      </font>
      <fill>
        <patternFill patternType="gray125"/>
      </fill>
    </dxf>
    <dxf>
      <fill>
        <patternFill>
          <bgColor theme="0"/>
        </patternFill>
      </fill>
    </dxf>
    <dxf>
      <font>
        <color theme="0"/>
      </font>
      <fill>
        <patternFill>
          <fgColor theme="1"/>
          <bgColor theme="1"/>
        </patternFill>
      </fill>
    </dxf>
    <dxf>
      <font>
        <color theme="0"/>
      </font>
      <fill>
        <patternFill>
          <fgColor theme="1"/>
          <bgColor theme="1"/>
        </patternFill>
      </fill>
    </dxf>
    <dxf>
      <font>
        <b/>
        <i val="0"/>
        <color theme="0"/>
      </font>
      <fill>
        <patternFill patternType="solid"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12072335407091E-2"/>
          <c:y val="9.1490764852942205E-2"/>
          <c:w val="0.86750192271324011"/>
          <c:h val="0.73540006449926942"/>
        </c:manualLayout>
      </c:layout>
      <c:scatterChart>
        <c:scatterStyle val="lineMarker"/>
        <c:varyColors val="0"/>
        <c:ser>
          <c:idx val="1"/>
          <c:order val="0"/>
          <c:tx>
            <c:v>KTŞ Üst Limit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Dizayn!$A$29:$A$38</c:f>
              <c:numCache>
                <c:formatCode>0.0</c:formatCode>
                <c:ptCount val="10"/>
                <c:pt idx="0">
                  <c:v>38.099999999999994</c:v>
                </c:pt>
                <c:pt idx="1">
                  <c:v>25.4</c:v>
                </c:pt>
                <c:pt idx="2">
                  <c:v>19.100000000000001</c:v>
                </c:pt>
                <c:pt idx="3">
                  <c:v>12.7</c:v>
                </c:pt>
                <c:pt idx="4" formatCode="0.00">
                  <c:v>9.5299999999999994</c:v>
                </c:pt>
                <c:pt idx="5" formatCode="0.00">
                  <c:v>4.75</c:v>
                </c:pt>
                <c:pt idx="6" formatCode="0.00">
                  <c:v>2</c:v>
                </c:pt>
                <c:pt idx="7" formatCode="0.00">
                  <c:v>0.42499999999999999</c:v>
                </c:pt>
                <c:pt idx="8" formatCode="0.000">
                  <c:v>0.18</c:v>
                </c:pt>
                <c:pt idx="9" formatCode="0.000">
                  <c:v>7.4999999999999997E-2</c:v>
                </c:pt>
              </c:numCache>
            </c:numRef>
          </c:xVal>
          <c:yVal>
            <c:numRef>
              <c:f>Dizayn!$C$29:$C$38</c:f>
              <c:numCache>
                <c:formatCode>0.0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80</c:v>
                </c:pt>
                <c:pt idx="4">
                  <c:v>70</c:v>
                </c:pt>
                <c:pt idx="5">
                  <c:v>52</c:v>
                </c:pt>
                <c:pt idx="6">
                  <c:v>40</c:v>
                </c:pt>
                <c:pt idx="7">
                  <c:v>22</c:v>
                </c:pt>
                <c:pt idx="8">
                  <c:v>14</c:v>
                </c:pt>
                <c:pt idx="9">
                  <c:v>7</c:v>
                </c:pt>
              </c:numCache>
            </c:numRef>
          </c:yVal>
          <c:smooth val="0"/>
        </c:ser>
        <c:ser>
          <c:idx val="4"/>
          <c:order val="1"/>
          <c:tx>
            <c:v>KTŞ Alt Limit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Dizayn!$A$29:$A$38</c:f>
              <c:numCache>
                <c:formatCode>0.0</c:formatCode>
                <c:ptCount val="10"/>
                <c:pt idx="0">
                  <c:v>38.099999999999994</c:v>
                </c:pt>
                <c:pt idx="1">
                  <c:v>25.4</c:v>
                </c:pt>
                <c:pt idx="2">
                  <c:v>19.100000000000001</c:v>
                </c:pt>
                <c:pt idx="3">
                  <c:v>12.7</c:v>
                </c:pt>
                <c:pt idx="4" formatCode="0.00">
                  <c:v>9.5299999999999994</c:v>
                </c:pt>
                <c:pt idx="5" formatCode="0.00">
                  <c:v>4.75</c:v>
                </c:pt>
                <c:pt idx="6" formatCode="0.00">
                  <c:v>2</c:v>
                </c:pt>
                <c:pt idx="7" formatCode="0.00">
                  <c:v>0.42499999999999999</c:v>
                </c:pt>
                <c:pt idx="8" formatCode="0.000">
                  <c:v>0.18</c:v>
                </c:pt>
                <c:pt idx="9" formatCode="0.000">
                  <c:v>7.4999999999999997E-2</c:v>
                </c:pt>
              </c:numCache>
            </c:numRef>
          </c:xVal>
          <c:yVal>
            <c:numRef>
              <c:f>Dizayn!$D$29:$D$38</c:f>
              <c:numCache>
                <c:formatCode>0.00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58</c:v>
                </c:pt>
                <c:pt idx="4">
                  <c:v>48</c:v>
                </c:pt>
                <c:pt idx="5">
                  <c:v>30</c:v>
                </c:pt>
                <c:pt idx="6">
                  <c:v>20</c:v>
                </c:pt>
                <c:pt idx="7">
                  <c:v>8</c:v>
                </c:pt>
                <c:pt idx="8">
                  <c:v>5</c:v>
                </c:pt>
                <c:pt idx="9">
                  <c:v>2</c:v>
                </c:pt>
              </c:numCache>
            </c:numRef>
          </c:yVal>
          <c:smooth val="0"/>
        </c:ser>
        <c:ser>
          <c:idx val="3"/>
          <c:order val="2"/>
          <c:tx>
            <c:v>Tölerans Üst Limit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Dizayn!$A$29:$A$38</c:f>
              <c:numCache>
                <c:formatCode>0.0</c:formatCode>
                <c:ptCount val="10"/>
                <c:pt idx="0">
                  <c:v>38.099999999999994</c:v>
                </c:pt>
                <c:pt idx="1">
                  <c:v>25.4</c:v>
                </c:pt>
                <c:pt idx="2">
                  <c:v>19.100000000000001</c:v>
                </c:pt>
                <c:pt idx="3">
                  <c:v>12.7</c:v>
                </c:pt>
                <c:pt idx="4" formatCode="0.00">
                  <c:v>9.5299999999999994</c:v>
                </c:pt>
                <c:pt idx="5" formatCode="0.00">
                  <c:v>4.75</c:v>
                </c:pt>
                <c:pt idx="6" formatCode="0.00">
                  <c:v>2</c:v>
                </c:pt>
                <c:pt idx="7" formatCode="0.00">
                  <c:v>0.42499999999999999</c:v>
                </c:pt>
                <c:pt idx="8" formatCode="0.000">
                  <c:v>0.18</c:v>
                </c:pt>
                <c:pt idx="9" formatCode="0.000">
                  <c:v>7.4999999999999997E-2</c:v>
                </c:pt>
              </c:numCache>
            </c:numRef>
          </c:xVal>
          <c:yVal>
            <c:numRef>
              <c:f>Dizayn!$E$29:$E$38</c:f>
              <c:numCache>
                <c:formatCode>0.0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93.5</c:v>
                </c:pt>
                <c:pt idx="3">
                  <c:v>71.599999999999994</c:v>
                </c:pt>
                <c:pt idx="4">
                  <c:v>64.5</c:v>
                </c:pt>
                <c:pt idx="5">
                  <c:v>46.6</c:v>
                </c:pt>
                <c:pt idx="6">
                  <c:v>30.5</c:v>
                </c:pt>
                <c:pt idx="7">
                  <c:v>15.9</c:v>
                </c:pt>
                <c:pt idx="8">
                  <c:v>11.8</c:v>
                </c:pt>
                <c:pt idx="9">
                  <c:v>7</c:v>
                </c:pt>
              </c:numCache>
            </c:numRef>
          </c:yVal>
          <c:smooth val="0"/>
        </c:ser>
        <c:ser>
          <c:idx val="2"/>
          <c:order val="3"/>
          <c:tx>
            <c:v>Tölerans Alt Limit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Pt>
            <c:idx val="7"/>
            <c:marker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xVal>
            <c:numRef>
              <c:f>Dizayn!$A$29:$A$38</c:f>
              <c:numCache>
                <c:formatCode>0.0</c:formatCode>
                <c:ptCount val="10"/>
                <c:pt idx="0">
                  <c:v>38.099999999999994</c:v>
                </c:pt>
                <c:pt idx="1">
                  <c:v>25.4</c:v>
                </c:pt>
                <c:pt idx="2">
                  <c:v>19.100000000000001</c:v>
                </c:pt>
                <c:pt idx="3">
                  <c:v>12.7</c:v>
                </c:pt>
                <c:pt idx="4" formatCode="0.00">
                  <c:v>9.5299999999999994</c:v>
                </c:pt>
                <c:pt idx="5" formatCode="0.00">
                  <c:v>4.75</c:v>
                </c:pt>
                <c:pt idx="6" formatCode="0.00">
                  <c:v>2</c:v>
                </c:pt>
                <c:pt idx="7" formatCode="0.00">
                  <c:v>0.42499999999999999</c:v>
                </c:pt>
                <c:pt idx="8" formatCode="0.000">
                  <c:v>0.18</c:v>
                </c:pt>
                <c:pt idx="9" formatCode="0.000">
                  <c:v>7.4999999999999997E-2</c:v>
                </c:pt>
              </c:numCache>
            </c:numRef>
          </c:xVal>
          <c:yVal>
            <c:numRef>
              <c:f>Dizayn!$F$29:$F$38</c:f>
              <c:numCache>
                <c:formatCode>0.0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85.5</c:v>
                </c:pt>
                <c:pt idx="3">
                  <c:v>63.599999999999994</c:v>
                </c:pt>
                <c:pt idx="4">
                  <c:v>56.5</c:v>
                </c:pt>
                <c:pt idx="5">
                  <c:v>38.6</c:v>
                </c:pt>
                <c:pt idx="6">
                  <c:v>24.5</c:v>
                </c:pt>
                <c:pt idx="7">
                  <c:v>9.9</c:v>
                </c:pt>
                <c:pt idx="8">
                  <c:v>5.8000000000000007</c:v>
                </c:pt>
                <c:pt idx="9">
                  <c:v>3.25</c:v>
                </c:pt>
              </c:numCache>
            </c:numRef>
          </c:yVal>
          <c:smooth val="0"/>
        </c:ser>
        <c:ser>
          <c:idx val="0"/>
          <c:order val="4"/>
          <c:tx>
            <c:v>Gradasyon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Dizayn!$A$29:$A$38</c:f>
              <c:numCache>
                <c:formatCode>0.0</c:formatCode>
                <c:ptCount val="10"/>
                <c:pt idx="0">
                  <c:v>38.099999999999994</c:v>
                </c:pt>
                <c:pt idx="1">
                  <c:v>25.4</c:v>
                </c:pt>
                <c:pt idx="2">
                  <c:v>19.100000000000001</c:v>
                </c:pt>
                <c:pt idx="3">
                  <c:v>12.7</c:v>
                </c:pt>
                <c:pt idx="4" formatCode="0.00">
                  <c:v>9.5299999999999994</c:v>
                </c:pt>
                <c:pt idx="5" formatCode="0.00">
                  <c:v>4.75</c:v>
                </c:pt>
                <c:pt idx="6" formatCode="0.00">
                  <c:v>2</c:v>
                </c:pt>
                <c:pt idx="7" formatCode="0.00">
                  <c:v>0.42499999999999999</c:v>
                </c:pt>
                <c:pt idx="8" formatCode="0.000">
                  <c:v>0.18</c:v>
                </c:pt>
                <c:pt idx="9" formatCode="0.000">
                  <c:v>7.4999999999999997E-2</c:v>
                </c:pt>
              </c:numCache>
            </c:numRef>
          </c:xVal>
          <c:yVal>
            <c:numRef>
              <c:f>'1 Sıcak Silo'!$AI$15:$AI$24</c:f>
              <c:numCache>
                <c:formatCode>0.0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90.6</c:v>
                </c:pt>
                <c:pt idx="3">
                  <c:v>64.900000000000006</c:v>
                </c:pt>
                <c:pt idx="4">
                  <c:v>58.4</c:v>
                </c:pt>
                <c:pt idx="5">
                  <c:v>42.3</c:v>
                </c:pt>
                <c:pt idx="6">
                  <c:v>26.5</c:v>
                </c:pt>
                <c:pt idx="7">
                  <c:v>12.5</c:v>
                </c:pt>
                <c:pt idx="8">
                  <c:v>8.4</c:v>
                </c:pt>
                <c:pt idx="9">
                  <c:v>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93440"/>
        <c:axId val="292895744"/>
      </c:scatterChart>
      <c:valAx>
        <c:axId val="292893440"/>
        <c:scaling>
          <c:logBase val="10"/>
          <c:orientation val="minMax"/>
          <c:max val="5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Elek</a:t>
                </a:r>
                <a:r>
                  <a:rPr lang="tr-TR" sz="8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Açıklığı</a:t>
                </a:r>
                <a:endParaRPr lang="tr-TR" sz="8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5208612204724408"/>
              <c:y val="0.898205450027286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92895744"/>
        <c:crossesAt val="0.05"/>
        <c:crossBetween val="midCat"/>
        <c:majorUnit val="10"/>
        <c:minorUnit val="10"/>
      </c:valAx>
      <c:valAx>
        <c:axId val="2928957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geçen</a:t>
                </a:r>
              </a:p>
            </c:rich>
          </c:tx>
          <c:layout>
            <c:manualLayout>
              <c:xMode val="edge"/>
              <c:yMode val="edge"/>
              <c:x val="1.2330209844545838E-2"/>
              <c:y val="0.421104210789806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tr-TR"/>
          </a:p>
        </c:txPr>
        <c:crossAx val="292893440"/>
        <c:crossesAt val="0.01"/>
        <c:crossBetween val="midCat"/>
        <c:majorUnit val="10"/>
        <c:min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6.2500000000000003E-3"/>
          <c:y val="0.93538884956806412"/>
          <c:w val="0.98333333333333328"/>
          <c:h val="5.4346537081445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 alignWithMargins="0"/>
    <c:pageMargins b="0.35433070866141736" l="0.70866141732283472" r="0.35433070866141736" t="0.35433070866141736" header="0" footer="0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'2 Malaksör'!$AB$12:$AB$22</c:f>
              <c:numCache>
                <c:formatCode>General</c:formatCode>
                <c:ptCount val="11"/>
              </c:numCache>
            </c:numRef>
          </c:xVal>
          <c:yVal>
            <c:numRef>
              <c:f>'2 Malaksör'!#REF!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'2 Malaksör'!$AB$12:$AB$22</c:f>
              <c:numCache>
                <c:formatCode>General</c:formatCode>
                <c:ptCount val="11"/>
              </c:numCache>
            </c:numRef>
          </c:xVal>
          <c:yVal>
            <c:numRef>
              <c:f>'2 Malaksör'!#REF!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'2 Malaksör'!$AB$12:$AB$22</c:f>
              <c:numCache>
                <c:formatCode>General</c:formatCode>
                <c:ptCount val="11"/>
              </c:numCache>
            </c:numRef>
          </c:xVal>
          <c:yVal>
            <c:numRef>
              <c:f>'2 Malaksör'!#REF!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'2 Malaksör'!$AB$12:$AB$22</c:f>
              <c:numCache>
                <c:formatCode>General</c:formatCode>
                <c:ptCount val="11"/>
              </c:numCache>
            </c:numRef>
          </c:xVal>
          <c:yVal>
            <c:numRef>
              <c:f>'2 Malaksör'!#REF!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lgDashDotDot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'2 Malaksör'!$AB$12:$AB$22</c:f>
              <c:numCache>
                <c:formatCode>General</c:formatCode>
                <c:ptCount val="11"/>
              </c:numCache>
            </c:numRef>
          </c:xVal>
          <c:yVal>
            <c:numRef>
              <c:f>'2 Malaksör'!$S$12:$S$21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58176"/>
        <c:axId val="292659968"/>
      </c:scatterChart>
      <c:valAx>
        <c:axId val="2926581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92659968"/>
        <c:crosses val="autoZero"/>
        <c:crossBetween val="midCat"/>
      </c:valAx>
      <c:valAx>
        <c:axId val="292659968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9265817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1255" r="0.7500000000000125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12072335407091E-2"/>
          <c:y val="9.1490764852942205E-2"/>
          <c:w val="0.86750192271324011"/>
          <c:h val="0.73540006449926942"/>
        </c:manualLayout>
      </c:layout>
      <c:scatterChart>
        <c:scatterStyle val="lineMarker"/>
        <c:varyColors val="0"/>
        <c:ser>
          <c:idx val="1"/>
          <c:order val="0"/>
          <c:tx>
            <c:v>KTŞ Üst Limit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Dizayn!$A$29:$A$38</c:f>
              <c:numCache>
                <c:formatCode>0.0</c:formatCode>
                <c:ptCount val="10"/>
                <c:pt idx="0">
                  <c:v>38.099999999999994</c:v>
                </c:pt>
                <c:pt idx="1">
                  <c:v>25.4</c:v>
                </c:pt>
                <c:pt idx="2">
                  <c:v>19.100000000000001</c:v>
                </c:pt>
                <c:pt idx="3">
                  <c:v>12.7</c:v>
                </c:pt>
                <c:pt idx="4" formatCode="0.00">
                  <c:v>9.5299999999999994</c:v>
                </c:pt>
                <c:pt idx="5" formatCode="0.00">
                  <c:v>4.75</c:v>
                </c:pt>
                <c:pt idx="6" formatCode="0.00">
                  <c:v>2</c:v>
                </c:pt>
                <c:pt idx="7" formatCode="0.00">
                  <c:v>0.42499999999999999</c:v>
                </c:pt>
                <c:pt idx="8" formatCode="0.000">
                  <c:v>0.18</c:v>
                </c:pt>
                <c:pt idx="9" formatCode="0.000">
                  <c:v>7.4999999999999997E-2</c:v>
                </c:pt>
              </c:numCache>
            </c:numRef>
          </c:xVal>
          <c:yVal>
            <c:numRef>
              <c:f>Dizayn!$C$29:$C$38</c:f>
              <c:numCache>
                <c:formatCode>0.0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80</c:v>
                </c:pt>
                <c:pt idx="4">
                  <c:v>70</c:v>
                </c:pt>
                <c:pt idx="5">
                  <c:v>52</c:v>
                </c:pt>
                <c:pt idx="6">
                  <c:v>40</c:v>
                </c:pt>
                <c:pt idx="7">
                  <c:v>22</c:v>
                </c:pt>
                <c:pt idx="8">
                  <c:v>14</c:v>
                </c:pt>
                <c:pt idx="9">
                  <c:v>7</c:v>
                </c:pt>
              </c:numCache>
            </c:numRef>
          </c:yVal>
          <c:smooth val="0"/>
        </c:ser>
        <c:ser>
          <c:idx val="4"/>
          <c:order val="1"/>
          <c:tx>
            <c:v>KTŞ Alt Limit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Dizayn!$A$29:$A$38</c:f>
              <c:numCache>
                <c:formatCode>0.0</c:formatCode>
                <c:ptCount val="10"/>
                <c:pt idx="0">
                  <c:v>38.099999999999994</c:v>
                </c:pt>
                <c:pt idx="1">
                  <c:v>25.4</c:v>
                </c:pt>
                <c:pt idx="2">
                  <c:v>19.100000000000001</c:v>
                </c:pt>
                <c:pt idx="3">
                  <c:v>12.7</c:v>
                </c:pt>
                <c:pt idx="4" formatCode="0.00">
                  <c:v>9.5299999999999994</c:v>
                </c:pt>
                <c:pt idx="5" formatCode="0.00">
                  <c:v>4.75</c:v>
                </c:pt>
                <c:pt idx="6" formatCode="0.00">
                  <c:v>2</c:v>
                </c:pt>
                <c:pt idx="7" formatCode="0.00">
                  <c:v>0.42499999999999999</c:v>
                </c:pt>
                <c:pt idx="8" formatCode="0.000">
                  <c:v>0.18</c:v>
                </c:pt>
                <c:pt idx="9" formatCode="0.000">
                  <c:v>7.4999999999999997E-2</c:v>
                </c:pt>
              </c:numCache>
            </c:numRef>
          </c:xVal>
          <c:yVal>
            <c:numRef>
              <c:f>Dizayn!$D$29:$D$38</c:f>
              <c:numCache>
                <c:formatCode>0.00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58</c:v>
                </c:pt>
                <c:pt idx="4">
                  <c:v>48</c:v>
                </c:pt>
                <c:pt idx="5">
                  <c:v>30</c:v>
                </c:pt>
                <c:pt idx="6">
                  <c:v>20</c:v>
                </c:pt>
                <c:pt idx="7">
                  <c:v>8</c:v>
                </c:pt>
                <c:pt idx="8">
                  <c:v>5</c:v>
                </c:pt>
                <c:pt idx="9">
                  <c:v>2</c:v>
                </c:pt>
              </c:numCache>
            </c:numRef>
          </c:yVal>
          <c:smooth val="0"/>
        </c:ser>
        <c:ser>
          <c:idx val="3"/>
          <c:order val="2"/>
          <c:tx>
            <c:v>Tölerans Üst Limit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Dizayn!$A$29:$A$38</c:f>
              <c:numCache>
                <c:formatCode>0.0</c:formatCode>
                <c:ptCount val="10"/>
                <c:pt idx="0">
                  <c:v>38.099999999999994</c:v>
                </c:pt>
                <c:pt idx="1">
                  <c:v>25.4</c:v>
                </c:pt>
                <c:pt idx="2">
                  <c:v>19.100000000000001</c:v>
                </c:pt>
                <c:pt idx="3">
                  <c:v>12.7</c:v>
                </c:pt>
                <c:pt idx="4" formatCode="0.00">
                  <c:v>9.5299999999999994</c:v>
                </c:pt>
                <c:pt idx="5" formatCode="0.00">
                  <c:v>4.75</c:v>
                </c:pt>
                <c:pt idx="6" formatCode="0.00">
                  <c:v>2</c:v>
                </c:pt>
                <c:pt idx="7" formatCode="0.00">
                  <c:v>0.42499999999999999</c:v>
                </c:pt>
                <c:pt idx="8" formatCode="0.000">
                  <c:v>0.18</c:v>
                </c:pt>
                <c:pt idx="9" formatCode="0.000">
                  <c:v>7.4999999999999997E-2</c:v>
                </c:pt>
              </c:numCache>
            </c:numRef>
          </c:xVal>
          <c:yVal>
            <c:numRef>
              <c:f>Dizayn!$E$29:$E$38</c:f>
              <c:numCache>
                <c:formatCode>0.0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93.5</c:v>
                </c:pt>
                <c:pt idx="3">
                  <c:v>71.599999999999994</c:v>
                </c:pt>
                <c:pt idx="4">
                  <c:v>64.5</c:v>
                </c:pt>
                <c:pt idx="5">
                  <c:v>46.6</c:v>
                </c:pt>
                <c:pt idx="6">
                  <c:v>30.5</c:v>
                </c:pt>
                <c:pt idx="7">
                  <c:v>15.9</c:v>
                </c:pt>
                <c:pt idx="8">
                  <c:v>11.8</c:v>
                </c:pt>
                <c:pt idx="9">
                  <c:v>7</c:v>
                </c:pt>
              </c:numCache>
            </c:numRef>
          </c:yVal>
          <c:smooth val="0"/>
        </c:ser>
        <c:ser>
          <c:idx val="2"/>
          <c:order val="3"/>
          <c:tx>
            <c:v>Tölerans Alt Limit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Pt>
            <c:idx val="7"/>
            <c:marker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xVal>
            <c:numRef>
              <c:f>Dizayn!$A$29:$A$38</c:f>
              <c:numCache>
                <c:formatCode>0.0</c:formatCode>
                <c:ptCount val="10"/>
                <c:pt idx="0">
                  <c:v>38.099999999999994</c:v>
                </c:pt>
                <c:pt idx="1">
                  <c:v>25.4</c:v>
                </c:pt>
                <c:pt idx="2">
                  <c:v>19.100000000000001</c:v>
                </c:pt>
                <c:pt idx="3">
                  <c:v>12.7</c:v>
                </c:pt>
                <c:pt idx="4" formatCode="0.00">
                  <c:v>9.5299999999999994</c:v>
                </c:pt>
                <c:pt idx="5" formatCode="0.00">
                  <c:v>4.75</c:v>
                </c:pt>
                <c:pt idx="6" formatCode="0.00">
                  <c:v>2</c:v>
                </c:pt>
                <c:pt idx="7" formatCode="0.00">
                  <c:v>0.42499999999999999</c:v>
                </c:pt>
                <c:pt idx="8" formatCode="0.000">
                  <c:v>0.18</c:v>
                </c:pt>
                <c:pt idx="9" formatCode="0.000">
                  <c:v>7.4999999999999997E-2</c:v>
                </c:pt>
              </c:numCache>
            </c:numRef>
          </c:xVal>
          <c:yVal>
            <c:numRef>
              <c:f>Dizayn!$F$29:$F$38</c:f>
              <c:numCache>
                <c:formatCode>0.0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85.5</c:v>
                </c:pt>
                <c:pt idx="3">
                  <c:v>63.599999999999994</c:v>
                </c:pt>
                <c:pt idx="4">
                  <c:v>56.5</c:v>
                </c:pt>
                <c:pt idx="5">
                  <c:v>38.6</c:v>
                </c:pt>
                <c:pt idx="6">
                  <c:v>24.5</c:v>
                </c:pt>
                <c:pt idx="7">
                  <c:v>9.9</c:v>
                </c:pt>
                <c:pt idx="8">
                  <c:v>5.8000000000000007</c:v>
                </c:pt>
                <c:pt idx="9">
                  <c:v>3.25</c:v>
                </c:pt>
              </c:numCache>
            </c:numRef>
          </c:yVal>
          <c:smooth val="0"/>
        </c:ser>
        <c:ser>
          <c:idx val="0"/>
          <c:order val="4"/>
          <c:tx>
            <c:v>Gradasyon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Dizayn!$A$29:$A$38</c:f>
              <c:numCache>
                <c:formatCode>0.0</c:formatCode>
                <c:ptCount val="10"/>
                <c:pt idx="0">
                  <c:v>38.099999999999994</c:v>
                </c:pt>
                <c:pt idx="1">
                  <c:v>25.4</c:v>
                </c:pt>
                <c:pt idx="2">
                  <c:v>19.100000000000001</c:v>
                </c:pt>
                <c:pt idx="3">
                  <c:v>12.7</c:v>
                </c:pt>
                <c:pt idx="4" formatCode="0.00">
                  <c:v>9.5299999999999994</c:v>
                </c:pt>
                <c:pt idx="5" formatCode="0.00">
                  <c:v>4.75</c:v>
                </c:pt>
                <c:pt idx="6" formatCode="0.00">
                  <c:v>2</c:v>
                </c:pt>
                <c:pt idx="7" formatCode="0.00">
                  <c:v>0.42499999999999999</c:v>
                </c:pt>
                <c:pt idx="8" formatCode="0.000">
                  <c:v>0.18</c:v>
                </c:pt>
                <c:pt idx="9" formatCode="0.000">
                  <c:v>7.4999999999999997E-2</c:v>
                </c:pt>
              </c:numCache>
            </c:numRef>
          </c:xVal>
          <c:yVal>
            <c:numRef>
              <c:f>'2 Malaksör'!$AI$14:$AI$23</c:f>
              <c:numCache>
                <c:formatCode>0.0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90.149860555760895</c:v>
                </c:pt>
                <c:pt idx="3">
                  <c:v>66.094889284634249</c:v>
                </c:pt>
                <c:pt idx="4">
                  <c:v>55.072074191055407</c:v>
                </c:pt>
                <c:pt idx="5">
                  <c:v>45.20681428715433</c:v>
                </c:pt>
                <c:pt idx="6">
                  <c:v>27.006821007358624</c:v>
                </c:pt>
                <c:pt idx="7">
                  <c:v>11.284903061053058</c:v>
                </c:pt>
                <c:pt idx="8">
                  <c:v>8.0037633144047504</c:v>
                </c:pt>
                <c:pt idx="9">
                  <c:v>5.6768925775343604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15968"/>
        <c:axId val="293086336"/>
      </c:scatterChart>
      <c:valAx>
        <c:axId val="294115968"/>
        <c:scaling>
          <c:logBase val="10"/>
          <c:orientation val="minMax"/>
          <c:max val="5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Elek</a:t>
                </a:r>
                <a:r>
                  <a:rPr lang="tr-TR" sz="8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Açıklığı</a:t>
                </a:r>
                <a:endParaRPr lang="tr-TR" sz="8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5208612204724408"/>
              <c:y val="0.898205450027286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93086336"/>
        <c:crossesAt val="0.05"/>
        <c:crossBetween val="midCat"/>
        <c:majorUnit val="10"/>
        <c:minorUnit val="10"/>
      </c:valAx>
      <c:valAx>
        <c:axId val="2930863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geçen</a:t>
                </a:r>
              </a:p>
            </c:rich>
          </c:tx>
          <c:layout>
            <c:manualLayout>
              <c:xMode val="edge"/>
              <c:yMode val="edge"/>
              <c:x val="1.2330209844545838E-2"/>
              <c:y val="0.421104210789806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tr-TR"/>
          </a:p>
        </c:txPr>
        <c:crossAx val="294115968"/>
        <c:crossesAt val="0.01"/>
        <c:crossBetween val="midCat"/>
        <c:majorUnit val="10"/>
        <c:min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6.2500000000000003E-3"/>
          <c:y val="0.93538884956806412"/>
          <c:w val="0.98333333333333328"/>
          <c:h val="5.4346537081445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 alignWithMargins="0"/>
    <c:pageMargins b="0.35433070866141736" l="0.70866141732283472" r="0.35433070866141736" t="0.35433070866141736" header="0" footer="0"/>
    <c:pageSetup paperSize="9"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12072335407091E-2"/>
          <c:y val="9.1490764852942205E-2"/>
          <c:w val="0.86750192271324011"/>
          <c:h val="0.73540006449926942"/>
        </c:manualLayout>
      </c:layout>
      <c:scatterChart>
        <c:scatterStyle val="lineMarker"/>
        <c:varyColors val="0"/>
        <c:ser>
          <c:idx val="1"/>
          <c:order val="0"/>
          <c:tx>
            <c:v>KTŞ Üst Limit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Dizayn!$A$29:$A$38</c:f>
              <c:numCache>
                <c:formatCode>0.0</c:formatCode>
                <c:ptCount val="10"/>
                <c:pt idx="0">
                  <c:v>38.099999999999994</c:v>
                </c:pt>
                <c:pt idx="1">
                  <c:v>25.4</c:v>
                </c:pt>
                <c:pt idx="2">
                  <c:v>19.100000000000001</c:v>
                </c:pt>
                <c:pt idx="3">
                  <c:v>12.7</c:v>
                </c:pt>
                <c:pt idx="4" formatCode="0.00">
                  <c:v>9.5299999999999994</c:v>
                </c:pt>
                <c:pt idx="5" formatCode="0.00">
                  <c:v>4.75</c:v>
                </c:pt>
                <c:pt idx="6" formatCode="0.00">
                  <c:v>2</c:v>
                </c:pt>
                <c:pt idx="7" formatCode="0.00">
                  <c:v>0.42499999999999999</c:v>
                </c:pt>
                <c:pt idx="8" formatCode="0.000">
                  <c:v>0.18</c:v>
                </c:pt>
                <c:pt idx="9" formatCode="0.000">
                  <c:v>7.4999999999999997E-2</c:v>
                </c:pt>
              </c:numCache>
            </c:numRef>
          </c:xVal>
          <c:yVal>
            <c:numRef>
              <c:f>Dizayn!$C$29:$C$38</c:f>
              <c:numCache>
                <c:formatCode>0.0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80</c:v>
                </c:pt>
                <c:pt idx="4">
                  <c:v>70</c:v>
                </c:pt>
                <c:pt idx="5">
                  <c:v>52</c:v>
                </c:pt>
                <c:pt idx="6">
                  <c:v>40</c:v>
                </c:pt>
                <c:pt idx="7">
                  <c:v>22</c:v>
                </c:pt>
                <c:pt idx="8">
                  <c:v>14</c:v>
                </c:pt>
                <c:pt idx="9">
                  <c:v>7</c:v>
                </c:pt>
              </c:numCache>
            </c:numRef>
          </c:yVal>
          <c:smooth val="0"/>
        </c:ser>
        <c:ser>
          <c:idx val="4"/>
          <c:order val="1"/>
          <c:tx>
            <c:v>KTŞ Alt Limit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Dizayn!$A$29:$A$38</c:f>
              <c:numCache>
                <c:formatCode>0.0</c:formatCode>
                <c:ptCount val="10"/>
                <c:pt idx="0">
                  <c:v>38.099999999999994</c:v>
                </c:pt>
                <c:pt idx="1">
                  <c:v>25.4</c:v>
                </c:pt>
                <c:pt idx="2">
                  <c:v>19.100000000000001</c:v>
                </c:pt>
                <c:pt idx="3">
                  <c:v>12.7</c:v>
                </c:pt>
                <c:pt idx="4" formatCode="0.00">
                  <c:v>9.5299999999999994</c:v>
                </c:pt>
                <c:pt idx="5" formatCode="0.00">
                  <c:v>4.75</c:v>
                </c:pt>
                <c:pt idx="6" formatCode="0.00">
                  <c:v>2</c:v>
                </c:pt>
                <c:pt idx="7" formatCode="0.00">
                  <c:v>0.42499999999999999</c:v>
                </c:pt>
                <c:pt idx="8" formatCode="0.000">
                  <c:v>0.18</c:v>
                </c:pt>
                <c:pt idx="9" formatCode="0.000">
                  <c:v>7.4999999999999997E-2</c:v>
                </c:pt>
              </c:numCache>
            </c:numRef>
          </c:xVal>
          <c:yVal>
            <c:numRef>
              <c:f>Dizayn!$D$29:$D$38</c:f>
              <c:numCache>
                <c:formatCode>0.00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58</c:v>
                </c:pt>
                <c:pt idx="4">
                  <c:v>48</c:v>
                </c:pt>
                <c:pt idx="5">
                  <c:v>30</c:v>
                </c:pt>
                <c:pt idx="6">
                  <c:v>20</c:v>
                </c:pt>
                <c:pt idx="7">
                  <c:v>8</c:v>
                </c:pt>
                <c:pt idx="8">
                  <c:v>5</c:v>
                </c:pt>
                <c:pt idx="9">
                  <c:v>2</c:v>
                </c:pt>
              </c:numCache>
            </c:numRef>
          </c:yVal>
          <c:smooth val="0"/>
        </c:ser>
        <c:ser>
          <c:idx val="3"/>
          <c:order val="2"/>
          <c:tx>
            <c:v>Tölerans Üst Limit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Dizayn!$A$29:$A$38</c:f>
              <c:numCache>
                <c:formatCode>0.0</c:formatCode>
                <c:ptCount val="10"/>
                <c:pt idx="0">
                  <c:v>38.099999999999994</c:v>
                </c:pt>
                <c:pt idx="1">
                  <c:v>25.4</c:v>
                </c:pt>
                <c:pt idx="2">
                  <c:v>19.100000000000001</c:v>
                </c:pt>
                <c:pt idx="3">
                  <c:v>12.7</c:v>
                </c:pt>
                <c:pt idx="4" formatCode="0.00">
                  <c:v>9.5299999999999994</c:v>
                </c:pt>
                <c:pt idx="5" formatCode="0.00">
                  <c:v>4.75</c:v>
                </c:pt>
                <c:pt idx="6" formatCode="0.00">
                  <c:v>2</c:v>
                </c:pt>
                <c:pt idx="7" formatCode="0.00">
                  <c:v>0.42499999999999999</c:v>
                </c:pt>
                <c:pt idx="8" formatCode="0.000">
                  <c:v>0.18</c:v>
                </c:pt>
                <c:pt idx="9" formatCode="0.000">
                  <c:v>7.4999999999999997E-2</c:v>
                </c:pt>
              </c:numCache>
            </c:numRef>
          </c:xVal>
          <c:yVal>
            <c:numRef>
              <c:f>Dizayn!$E$29:$E$38</c:f>
              <c:numCache>
                <c:formatCode>0.0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93.5</c:v>
                </c:pt>
                <c:pt idx="3">
                  <c:v>71.599999999999994</c:v>
                </c:pt>
                <c:pt idx="4">
                  <c:v>64.5</c:v>
                </c:pt>
                <c:pt idx="5">
                  <c:v>46.6</c:v>
                </c:pt>
                <c:pt idx="6">
                  <c:v>30.5</c:v>
                </c:pt>
                <c:pt idx="7">
                  <c:v>15.9</c:v>
                </c:pt>
                <c:pt idx="8">
                  <c:v>11.8</c:v>
                </c:pt>
                <c:pt idx="9">
                  <c:v>7</c:v>
                </c:pt>
              </c:numCache>
            </c:numRef>
          </c:yVal>
          <c:smooth val="0"/>
        </c:ser>
        <c:ser>
          <c:idx val="2"/>
          <c:order val="3"/>
          <c:tx>
            <c:v>Tölerans Alt Limit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Pt>
            <c:idx val="7"/>
            <c:marker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xVal>
            <c:numRef>
              <c:f>Dizayn!$A$29:$A$38</c:f>
              <c:numCache>
                <c:formatCode>0.0</c:formatCode>
                <c:ptCount val="10"/>
                <c:pt idx="0">
                  <c:v>38.099999999999994</c:v>
                </c:pt>
                <c:pt idx="1">
                  <c:v>25.4</c:v>
                </c:pt>
                <c:pt idx="2">
                  <c:v>19.100000000000001</c:v>
                </c:pt>
                <c:pt idx="3">
                  <c:v>12.7</c:v>
                </c:pt>
                <c:pt idx="4" formatCode="0.00">
                  <c:v>9.5299999999999994</c:v>
                </c:pt>
                <c:pt idx="5" formatCode="0.00">
                  <c:v>4.75</c:v>
                </c:pt>
                <c:pt idx="6" formatCode="0.00">
                  <c:v>2</c:v>
                </c:pt>
                <c:pt idx="7" formatCode="0.00">
                  <c:v>0.42499999999999999</c:v>
                </c:pt>
                <c:pt idx="8" formatCode="0.000">
                  <c:v>0.18</c:v>
                </c:pt>
                <c:pt idx="9" formatCode="0.000">
                  <c:v>7.4999999999999997E-2</c:v>
                </c:pt>
              </c:numCache>
            </c:numRef>
          </c:xVal>
          <c:yVal>
            <c:numRef>
              <c:f>Dizayn!$F$29:$F$38</c:f>
              <c:numCache>
                <c:formatCode>0.0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85.5</c:v>
                </c:pt>
                <c:pt idx="3">
                  <c:v>63.599999999999994</c:v>
                </c:pt>
                <c:pt idx="4">
                  <c:v>56.5</c:v>
                </c:pt>
                <c:pt idx="5">
                  <c:v>38.6</c:v>
                </c:pt>
                <c:pt idx="6">
                  <c:v>24.5</c:v>
                </c:pt>
                <c:pt idx="7">
                  <c:v>9.9</c:v>
                </c:pt>
                <c:pt idx="8">
                  <c:v>5.8000000000000007</c:v>
                </c:pt>
                <c:pt idx="9">
                  <c:v>3.25</c:v>
                </c:pt>
              </c:numCache>
            </c:numRef>
          </c:yVal>
          <c:smooth val="0"/>
        </c:ser>
        <c:ser>
          <c:idx val="0"/>
          <c:order val="4"/>
          <c:tx>
            <c:v>Gradasyon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Dizayn!$A$29:$A$38</c:f>
              <c:numCache>
                <c:formatCode>0.0</c:formatCode>
                <c:ptCount val="10"/>
                <c:pt idx="0">
                  <c:v>38.099999999999994</c:v>
                </c:pt>
                <c:pt idx="1">
                  <c:v>25.4</c:v>
                </c:pt>
                <c:pt idx="2">
                  <c:v>19.100000000000001</c:v>
                </c:pt>
                <c:pt idx="3">
                  <c:v>12.7</c:v>
                </c:pt>
                <c:pt idx="4" formatCode="0.00">
                  <c:v>9.5299999999999994</c:v>
                </c:pt>
                <c:pt idx="5" formatCode="0.00">
                  <c:v>4.75</c:v>
                </c:pt>
                <c:pt idx="6" formatCode="0.00">
                  <c:v>2</c:v>
                </c:pt>
                <c:pt idx="7" formatCode="0.00">
                  <c:v>0.42499999999999999</c:v>
                </c:pt>
                <c:pt idx="8" formatCode="0.000">
                  <c:v>0.18</c:v>
                </c:pt>
                <c:pt idx="9" formatCode="0.000">
                  <c:v>7.4999999999999997E-2</c:v>
                </c:pt>
              </c:numCache>
            </c:numRef>
          </c:xVal>
          <c:yVal>
            <c:numRef>
              <c:f>'3 Ekstrasyon'!$A$62:$A$71</c:f>
              <c:numCache>
                <c:formatCode>0.0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91.97342294180541</c:v>
                </c:pt>
                <c:pt idx="3">
                  <c:v>68.596303650526963</c:v>
                </c:pt>
                <c:pt idx="4">
                  <c:v>62.563005956926844</c:v>
                </c:pt>
                <c:pt idx="5">
                  <c:v>44.990071788605476</c:v>
                </c:pt>
                <c:pt idx="6">
                  <c:v>29.761722926531249</c:v>
                </c:pt>
                <c:pt idx="7">
                  <c:v>13.387811211241811</c:v>
                </c:pt>
                <c:pt idx="8">
                  <c:v>8.874293569573851</c:v>
                </c:pt>
                <c:pt idx="9">
                  <c:v>6.2318619214907613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76544"/>
        <c:axId val="291678848"/>
      </c:scatterChart>
      <c:valAx>
        <c:axId val="291676544"/>
        <c:scaling>
          <c:logBase val="10"/>
          <c:orientation val="minMax"/>
          <c:max val="5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Elek</a:t>
                </a:r>
                <a:r>
                  <a:rPr lang="tr-TR" sz="8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Açıklığı</a:t>
                </a:r>
                <a:endParaRPr lang="tr-TR" sz="8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5208612204724408"/>
              <c:y val="0.898205450027286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91678848"/>
        <c:crossesAt val="0.05"/>
        <c:crossBetween val="midCat"/>
        <c:majorUnit val="10"/>
        <c:minorUnit val="10"/>
      </c:valAx>
      <c:valAx>
        <c:axId val="2916788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geçen</a:t>
                </a:r>
              </a:p>
            </c:rich>
          </c:tx>
          <c:layout>
            <c:manualLayout>
              <c:xMode val="edge"/>
              <c:yMode val="edge"/>
              <c:x val="1.2330209844545838E-2"/>
              <c:y val="0.421104210789806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tr-TR"/>
          </a:p>
        </c:txPr>
        <c:crossAx val="291676544"/>
        <c:crossesAt val="0.01"/>
        <c:crossBetween val="midCat"/>
        <c:majorUnit val="10"/>
        <c:min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6.2500000000000003E-3"/>
          <c:y val="0.93538884956806412"/>
          <c:w val="0.98333333333333328"/>
          <c:h val="5.4346537081445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 alignWithMargins="0"/>
    <c:pageMargins b="0.35433070866141736" l="0.70866141732283472" r="0.35433070866141736" t="0.35433070866141736" header="0" footer="0"/>
    <c:pageSetup paperSize="9"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12072335407091E-2"/>
          <c:y val="9.1490764852942205E-2"/>
          <c:w val="0.86750192271324011"/>
          <c:h val="0.73540006449926942"/>
        </c:manualLayout>
      </c:layout>
      <c:scatterChart>
        <c:scatterStyle val="lineMarker"/>
        <c:varyColors val="0"/>
        <c:ser>
          <c:idx val="1"/>
          <c:order val="0"/>
          <c:tx>
            <c:v>KTŞ Üst Limit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Dizayn!$A$29:$A$38</c:f>
              <c:numCache>
                <c:formatCode>0.0</c:formatCode>
                <c:ptCount val="10"/>
                <c:pt idx="0">
                  <c:v>38.099999999999994</c:v>
                </c:pt>
                <c:pt idx="1">
                  <c:v>25.4</c:v>
                </c:pt>
                <c:pt idx="2">
                  <c:v>19.100000000000001</c:v>
                </c:pt>
                <c:pt idx="3">
                  <c:v>12.7</c:v>
                </c:pt>
                <c:pt idx="4" formatCode="0.00">
                  <c:v>9.5299999999999994</c:v>
                </c:pt>
                <c:pt idx="5" formatCode="0.00">
                  <c:v>4.75</c:v>
                </c:pt>
                <c:pt idx="6" formatCode="0.00">
                  <c:v>2</c:v>
                </c:pt>
                <c:pt idx="7" formatCode="0.00">
                  <c:v>0.42499999999999999</c:v>
                </c:pt>
                <c:pt idx="8" formatCode="0.000">
                  <c:v>0.18</c:v>
                </c:pt>
                <c:pt idx="9" formatCode="0.000">
                  <c:v>7.4999999999999997E-2</c:v>
                </c:pt>
              </c:numCache>
            </c:numRef>
          </c:xVal>
          <c:yVal>
            <c:numRef>
              <c:f>Dizayn!$C$29:$C$38</c:f>
              <c:numCache>
                <c:formatCode>0.0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80</c:v>
                </c:pt>
                <c:pt idx="4">
                  <c:v>70</c:v>
                </c:pt>
                <c:pt idx="5">
                  <c:v>52</c:v>
                </c:pt>
                <c:pt idx="6">
                  <c:v>40</c:v>
                </c:pt>
                <c:pt idx="7">
                  <c:v>22</c:v>
                </c:pt>
                <c:pt idx="8">
                  <c:v>14</c:v>
                </c:pt>
                <c:pt idx="9">
                  <c:v>7</c:v>
                </c:pt>
              </c:numCache>
            </c:numRef>
          </c:yVal>
          <c:smooth val="0"/>
        </c:ser>
        <c:ser>
          <c:idx val="4"/>
          <c:order val="1"/>
          <c:tx>
            <c:v>KTŞ Alt Limit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Dizayn!$A$29:$A$38</c:f>
              <c:numCache>
                <c:formatCode>0.0</c:formatCode>
                <c:ptCount val="10"/>
                <c:pt idx="0">
                  <c:v>38.099999999999994</c:v>
                </c:pt>
                <c:pt idx="1">
                  <c:v>25.4</c:v>
                </c:pt>
                <c:pt idx="2">
                  <c:v>19.100000000000001</c:v>
                </c:pt>
                <c:pt idx="3">
                  <c:v>12.7</c:v>
                </c:pt>
                <c:pt idx="4" formatCode="0.00">
                  <c:v>9.5299999999999994</c:v>
                </c:pt>
                <c:pt idx="5" formatCode="0.00">
                  <c:v>4.75</c:v>
                </c:pt>
                <c:pt idx="6" formatCode="0.00">
                  <c:v>2</c:v>
                </c:pt>
                <c:pt idx="7" formatCode="0.00">
                  <c:v>0.42499999999999999</c:v>
                </c:pt>
                <c:pt idx="8" formatCode="0.000">
                  <c:v>0.18</c:v>
                </c:pt>
                <c:pt idx="9" formatCode="0.000">
                  <c:v>7.4999999999999997E-2</c:v>
                </c:pt>
              </c:numCache>
            </c:numRef>
          </c:xVal>
          <c:yVal>
            <c:numRef>
              <c:f>Dizayn!$D$29:$D$38</c:f>
              <c:numCache>
                <c:formatCode>0.00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58</c:v>
                </c:pt>
                <c:pt idx="4">
                  <c:v>48</c:v>
                </c:pt>
                <c:pt idx="5">
                  <c:v>30</c:v>
                </c:pt>
                <c:pt idx="6">
                  <c:v>20</c:v>
                </c:pt>
                <c:pt idx="7">
                  <c:v>8</c:v>
                </c:pt>
                <c:pt idx="8">
                  <c:v>5</c:v>
                </c:pt>
                <c:pt idx="9">
                  <c:v>2</c:v>
                </c:pt>
              </c:numCache>
            </c:numRef>
          </c:yVal>
          <c:smooth val="0"/>
        </c:ser>
        <c:ser>
          <c:idx val="3"/>
          <c:order val="2"/>
          <c:tx>
            <c:v>Tölerans Üst Limit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Dizayn!$A$29:$A$38</c:f>
              <c:numCache>
                <c:formatCode>0.0</c:formatCode>
                <c:ptCount val="10"/>
                <c:pt idx="0">
                  <c:v>38.099999999999994</c:v>
                </c:pt>
                <c:pt idx="1">
                  <c:v>25.4</c:v>
                </c:pt>
                <c:pt idx="2">
                  <c:v>19.100000000000001</c:v>
                </c:pt>
                <c:pt idx="3">
                  <c:v>12.7</c:v>
                </c:pt>
                <c:pt idx="4" formatCode="0.00">
                  <c:v>9.5299999999999994</c:v>
                </c:pt>
                <c:pt idx="5" formatCode="0.00">
                  <c:v>4.75</c:v>
                </c:pt>
                <c:pt idx="6" formatCode="0.00">
                  <c:v>2</c:v>
                </c:pt>
                <c:pt idx="7" formatCode="0.00">
                  <c:v>0.42499999999999999</c:v>
                </c:pt>
                <c:pt idx="8" formatCode="0.000">
                  <c:v>0.18</c:v>
                </c:pt>
                <c:pt idx="9" formatCode="0.000">
                  <c:v>7.4999999999999997E-2</c:v>
                </c:pt>
              </c:numCache>
            </c:numRef>
          </c:xVal>
          <c:yVal>
            <c:numRef>
              <c:f>Dizayn!$E$29:$E$38</c:f>
              <c:numCache>
                <c:formatCode>0.0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93.5</c:v>
                </c:pt>
                <c:pt idx="3">
                  <c:v>71.599999999999994</c:v>
                </c:pt>
                <c:pt idx="4">
                  <c:v>64.5</c:v>
                </c:pt>
                <c:pt idx="5">
                  <c:v>46.6</c:v>
                </c:pt>
                <c:pt idx="6">
                  <c:v>30.5</c:v>
                </c:pt>
                <c:pt idx="7">
                  <c:v>15.9</c:v>
                </c:pt>
                <c:pt idx="8">
                  <c:v>11.8</c:v>
                </c:pt>
                <c:pt idx="9">
                  <c:v>7</c:v>
                </c:pt>
              </c:numCache>
            </c:numRef>
          </c:yVal>
          <c:smooth val="0"/>
        </c:ser>
        <c:ser>
          <c:idx val="2"/>
          <c:order val="3"/>
          <c:tx>
            <c:v>Tölerans Alt Limit</c:v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dPt>
            <c:idx val="7"/>
            <c:marker>
              <c:spPr>
                <a:noFill/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xVal>
            <c:numRef>
              <c:f>Dizayn!$A$29:$A$38</c:f>
              <c:numCache>
                <c:formatCode>0.0</c:formatCode>
                <c:ptCount val="10"/>
                <c:pt idx="0">
                  <c:v>38.099999999999994</c:v>
                </c:pt>
                <c:pt idx="1">
                  <c:v>25.4</c:v>
                </c:pt>
                <c:pt idx="2">
                  <c:v>19.100000000000001</c:v>
                </c:pt>
                <c:pt idx="3">
                  <c:v>12.7</c:v>
                </c:pt>
                <c:pt idx="4" formatCode="0.00">
                  <c:v>9.5299999999999994</c:v>
                </c:pt>
                <c:pt idx="5" formatCode="0.00">
                  <c:v>4.75</c:v>
                </c:pt>
                <c:pt idx="6" formatCode="0.00">
                  <c:v>2</c:v>
                </c:pt>
                <c:pt idx="7" formatCode="0.00">
                  <c:v>0.42499999999999999</c:v>
                </c:pt>
                <c:pt idx="8" formatCode="0.000">
                  <c:v>0.18</c:v>
                </c:pt>
                <c:pt idx="9" formatCode="0.000">
                  <c:v>7.4999999999999997E-2</c:v>
                </c:pt>
              </c:numCache>
            </c:numRef>
          </c:xVal>
          <c:yVal>
            <c:numRef>
              <c:f>Dizayn!$F$29:$F$38</c:f>
              <c:numCache>
                <c:formatCode>0.0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85.5</c:v>
                </c:pt>
                <c:pt idx="3">
                  <c:v>63.599999999999994</c:v>
                </c:pt>
                <c:pt idx="4">
                  <c:v>56.5</c:v>
                </c:pt>
                <c:pt idx="5">
                  <c:v>38.6</c:v>
                </c:pt>
                <c:pt idx="6">
                  <c:v>24.5</c:v>
                </c:pt>
                <c:pt idx="7">
                  <c:v>9.9</c:v>
                </c:pt>
                <c:pt idx="8">
                  <c:v>5.8000000000000007</c:v>
                </c:pt>
                <c:pt idx="9">
                  <c:v>3.25</c:v>
                </c:pt>
              </c:numCache>
            </c:numRef>
          </c:yVal>
          <c:smooth val="0"/>
        </c:ser>
        <c:ser>
          <c:idx val="0"/>
          <c:order val="4"/>
          <c:tx>
            <c:v>Gradasyon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Dizayn!$A$29:$A$38</c:f>
              <c:numCache>
                <c:formatCode>0.0</c:formatCode>
                <c:ptCount val="10"/>
                <c:pt idx="0">
                  <c:v>38.099999999999994</c:v>
                </c:pt>
                <c:pt idx="1">
                  <c:v>25.4</c:v>
                </c:pt>
                <c:pt idx="2">
                  <c:v>19.100000000000001</c:v>
                </c:pt>
                <c:pt idx="3">
                  <c:v>12.7</c:v>
                </c:pt>
                <c:pt idx="4" formatCode="0.00">
                  <c:v>9.5299999999999994</c:v>
                </c:pt>
                <c:pt idx="5" formatCode="0.00">
                  <c:v>4.75</c:v>
                </c:pt>
                <c:pt idx="6" formatCode="0.00">
                  <c:v>2</c:v>
                </c:pt>
                <c:pt idx="7" formatCode="0.00">
                  <c:v>0.42499999999999999</c:v>
                </c:pt>
                <c:pt idx="8" formatCode="0.000">
                  <c:v>0.18</c:v>
                </c:pt>
                <c:pt idx="9" formatCode="0.000">
                  <c:v>7.4999999999999997E-2</c:v>
                </c:pt>
              </c:numCache>
            </c:numRef>
          </c:xVal>
          <c:yVal>
            <c:numRef>
              <c:f>'3 Ekstrasyon'!$AI$62:$AI$71</c:f>
              <c:numCache>
                <c:formatCode>0.0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91.97342294180541</c:v>
                </c:pt>
                <c:pt idx="3">
                  <c:v>67.924240109974036</c:v>
                </c:pt>
                <c:pt idx="4">
                  <c:v>62.563005956926844</c:v>
                </c:pt>
                <c:pt idx="5">
                  <c:v>40.430731632808929</c:v>
                </c:pt>
                <c:pt idx="6">
                  <c:v>29.761722926531249</c:v>
                </c:pt>
                <c:pt idx="7">
                  <c:v>8.3549717427829506</c:v>
                </c:pt>
                <c:pt idx="8">
                  <c:v>8.874293569573851</c:v>
                </c:pt>
                <c:pt idx="9">
                  <c:v>6.2318619214907613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12160"/>
        <c:axId val="306422912"/>
      </c:scatterChart>
      <c:valAx>
        <c:axId val="306412160"/>
        <c:scaling>
          <c:logBase val="10"/>
          <c:orientation val="minMax"/>
          <c:max val="5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Elek</a:t>
                </a:r>
                <a:r>
                  <a:rPr lang="tr-TR" sz="8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Açıklığı</a:t>
                </a:r>
                <a:endParaRPr lang="tr-TR" sz="8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5208612204724408"/>
              <c:y val="0.898205450027286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06422912"/>
        <c:crossesAt val="0.05"/>
        <c:crossBetween val="midCat"/>
        <c:majorUnit val="10"/>
        <c:minorUnit val="10"/>
      </c:valAx>
      <c:valAx>
        <c:axId val="3064229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geçen</a:t>
                </a:r>
              </a:p>
            </c:rich>
          </c:tx>
          <c:layout>
            <c:manualLayout>
              <c:xMode val="edge"/>
              <c:yMode val="edge"/>
              <c:x val="1.2330209844545838E-2"/>
              <c:y val="0.421104210789806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tr-TR"/>
          </a:p>
        </c:txPr>
        <c:crossAx val="306412160"/>
        <c:crossesAt val="0.01"/>
        <c:crossBetween val="midCat"/>
        <c:majorUnit val="10"/>
        <c:min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6.2500000000000003E-3"/>
          <c:y val="0.93538884956806412"/>
          <c:w val="0.98333333333333328"/>
          <c:h val="5.4346537081445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 alignWithMargins="0"/>
    <c:pageMargins b="0.35433070866141736" l="0.70866141732283472" r="0.35433070866141736" t="0.35433070866141736" header="0" footer="0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25</xdr:row>
      <xdr:rowOff>0</xdr:rowOff>
    </xdr:from>
    <xdr:to>
      <xdr:col>32</xdr:col>
      <xdr:colOff>152400</xdr:colOff>
      <xdr:row>48</xdr:row>
      <xdr:rowOff>0</xdr:rowOff>
    </xdr:to>
    <xdr:graphicFrame macro="">
      <xdr:nvGraphicFramePr>
        <xdr:cNvPr id="4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49</xdr:row>
      <xdr:rowOff>0</xdr:rowOff>
    </xdr:from>
    <xdr:to>
      <xdr:col>33</xdr:col>
      <xdr:colOff>0</xdr:colOff>
      <xdr:row>58</xdr:row>
      <xdr:rowOff>0</xdr:rowOff>
    </xdr:to>
    <xdr:grpSp>
      <xdr:nvGrpSpPr>
        <xdr:cNvPr id="46" name="Group 7"/>
        <xdr:cNvGrpSpPr>
          <a:grpSpLocks/>
        </xdr:cNvGrpSpPr>
      </xdr:nvGrpSpPr>
      <xdr:grpSpPr bwMode="auto">
        <a:xfrm>
          <a:off x="9525" y="8236324"/>
          <a:ext cx="5907181" cy="1512794"/>
          <a:chOff x="419604" y="13428503"/>
          <a:chExt cx="6508075" cy="1251160"/>
        </a:xfrm>
      </xdr:grpSpPr>
      <xdr:sp macro="" textlink="Dizayn!$F$20">
        <xdr:nvSpPr>
          <xdr:cNvPr id="47" name="TextBox 4"/>
          <xdr:cNvSpPr txBox="1"/>
        </xdr:nvSpPr>
        <xdr:spPr>
          <a:xfrm>
            <a:off x="3657815" y="13612320"/>
            <a:ext cx="1105622" cy="1067343"/>
          </a:xfrm>
          <a:prstGeom prst="rect">
            <a:avLst/>
          </a:prstGeom>
          <a:solidFill>
            <a:schemeClr val="lt1"/>
          </a:solidFill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ctr"/>
            <a:fld id="{B88F777E-C1E4-4824-A365-68846AA594A0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
...../...../.........</a:t>
            </a:fld>
            <a:endParaRPr lang="tr-TR" sz="9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grpSp>
        <xdr:nvGrpSpPr>
          <xdr:cNvPr id="48" name="Group 9"/>
          <xdr:cNvGrpSpPr>
            <a:grpSpLocks/>
          </xdr:cNvGrpSpPr>
        </xdr:nvGrpSpPr>
        <xdr:grpSpPr bwMode="auto">
          <a:xfrm>
            <a:off x="419604" y="13428503"/>
            <a:ext cx="6508075" cy="1251160"/>
            <a:chOff x="419604" y="13428503"/>
            <a:chExt cx="6508075" cy="1251160"/>
          </a:xfrm>
        </xdr:grpSpPr>
        <xdr:sp macro="" textlink="">
          <xdr:nvSpPr>
            <xdr:cNvPr id="49" name="TextBox 6"/>
            <xdr:cNvSpPr txBox="1"/>
          </xdr:nvSpPr>
          <xdr:spPr>
            <a:xfrm>
              <a:off x="419604" y="13428505"/>
              <a:ext cx="2169119" cy="183813"/>
            </a:xfrm>
            <a:prstGeom prst="rect">
              <a:avLst/>
            </a:prstGeom>
            <a:noFill/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tIns="0" bIns="0" rtlCol="0" anchor="ctr"/>
            <a:lstStyle/>
            <a:p>
              <a:pPr algn="ctr"/>
              <a:r>
                <a:rPr lang="tr-TR" sz="1100" b="1">
                  <a:latin typeface="Arial" panose="020B0604020202020204" pitchFamily="34" charset="0"/>
                  <a:cs typeface="Arial" panose="020B0604020202020204" pitchFamily="34" charset="0"/>
                </a:rPr>
                <a:t>YÜKLENİCİ</a:t>
              </a:r>
            </a:p>
          </xdr:txBody>
        </xdr:sp>
        <xdr:sp macro="" textlink="">
          <xdr:nvSpPr>
            <xdr:cNvPr id="50" name="TextBox 7"/>
            <xdr:cNvSpPr txBox="1"/>
          </xdr:nvSpPr>
          <xdr:spPr>
            <a:xfrm>
              <a:off x="4760878" y="13428503"/>
              <a:ext cx="2166801" cy="183813"/>
            </a:xfrm>
            <a:prstGeom prst="rect">
              <a:avLst/>
            </a:prstGeom>
            <a:noFill/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tr-TR" sz="1100" b="1">
                  <a:latin typeface="Arial" panose="020B0604020202020204" pitchFamily="34" charset="0"/>
                  <a:cs typeface="Arial" panose="020B0604020202020204" pitchFamily="34" charset="0"/>
                </a:rPr>
                <a:t>İDARE</a:t>
              </a:r>
            </a:p>
          </xdr:txBody>
        </xdr:sp>
        <xdr:sp macro="" textlink="">
          <xdr:nvSpPr>
            <xdr:cNvPr id="51" name="TextBox 8"/>
            <xdr:cNvSpPr txBox="1"/>
          </xdr:nvSpPr>
          <xdr:spPr>
            <a:xfrm>
              <a:off x="2588723" y="13428509"/>
              <a:ext cx="2172156" cy="183813"/>
            </a:xfrm>
            <a:prstGeom prst="rect">
              <a:avLst/>
            </a:prstGeom>
            <a:noFill/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tr-TR" sz="1100" b="1">
                  <a:latin typeface="Arial" panose="020B0604020202020204" pitchFamily="34" charset="0"/>
                  <a:cs typeface="Arial" panose="020B0604020202020204" pitchFamily="34" charset="0"/>
                </a:rPr>
                <a:t>MÜŞAVİR</a:t>
              </a:r>
            </a:p>
          </xdr:txBody>
        </xdr:sp>
        <xdr:sp macro="" textlink="Dizayn!$F$14">
          <xdr:nvSpPr>
            <xdr:cNvPr id="52" name="TextBox 9"/>
            <xdr:cNvSpPr txBox="1"/>
          </xdr:nvSpPr>
          <xdr:spPr>
            <a:xfrm>
              <a:off x="419604" y="13612319"/>
              <a:ext cx="1079563" cy="106734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974B5D6D-6D97-4DBC-B41F-77A85594DCF2}" type="TxLink">
                <a:rPr lang="en-US" sz="9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Lab. Teknisyeni
Lab. Teknisyeni
...../...../.........</a:t>
              </a:fld>
              <a:endParaRPr lang="tr-TR" sz="9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Dizayn!$F$16">
          <xdr:nvSpPr>
            <xdr:cNvPr id="53" name="TextBox 10"/>
            <xdr:cNvSpPr txBox="1"/>
          </xdr:nvSpPr>
          <xdr:spPr>
            <a:xfrm>
              <a:off x="1499168" y="13612320"/>
              <a:ext cx="1089555" cy="10673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32106A95-3B41-458C-915F-EB96D628FE84}" type="TxLink">
                <a:rPr lang="en-US" sz="9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Şantiye Şefi
Şantiye Şefi
...../...../.........</a:t>
              </a:fld>
              <a:endParaRPr lang="tr-TR" sz="9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Dizayn!$F$18">
          <xdr:nvSpPr>
            <xdr:cNvPr id="54" name="TextBox 11"/>
            <xdr:cNvSpPr txBox="1"/>
          </xdr:nvSpPr>
          <xdr:spPr>
            <a:xfrm>
              <a:off x="2588723" y="13612320"/>
              <a:ext cx="1069091" cy="10673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65DA8B73-B566-4860-9E04-CB2A85D81846}" type="TxLink">
                <a:rPr lang="en-US" sz="9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Lab. Teknisyeni
Lab. Teknisyeni
...../...../.........</a:t>
              </a:fld>
              <a:endParaRPr lang="tr-TR" sz="9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Dizayn!$F$22">
          <xdr:nvSpPr>
            <xdr:cNvPr id="55" name="TextBox 12"/>
            <xdr:cNvSpPr txBox="1"/>
          </xdr:nvSpPr>
          <xdr:spPr>
            <a:xfrm>
              <a:off x="4760878" y="13612320"/>
              <a:ext cx="1082359" cy="10673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6C673218-7AAF-45F5-A6E5-FD1C0B4141F9}" type="TxLink">
                <a:rPr lang="en-US" sz="9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
...../...../.........</a:t>
              </a:fld>
              <a:endParaRPr lang="tr-TR" sz="9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Dizayn!$F$24">
          <xdr:nvSpPr>
            <xdr:cNvPr id="56" name="TextBox 13"/>
            <xdr:cNvSpPr txBox="1"/>
          </xdr:nvSpPr>
          <xdr:spPr>
            <a:xfrm>
              <a:off x="5843238" y="13612320"/>
              <a:ext cx="1084441" cy="10673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059AA4D6-9B51-4CEF-86F2-29277D0A6879}" type="TxLink">
                <a:rPr lang="en-US" sz="9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
...../...../.........</a:t>
              </a:fld>
              <a:endParaRPr lang="tr-TR" sz="9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</xdr:grpSp>
    <xdr:clientData/>
  </xdr:twoCellAnchor>
  <xdr:twoCellAnchor editAs="oneCell">
    <xdr:from>
      <xdr:col>25</xdr:col>
      <xdr:colOff>0</xdr:colOff>
      <xdr:row>0</xdr:row>
      <xdr:rowOff>57150</xdr:rowOff>
    </xdr:from>
    <xdr:to>
      <xdr:col>31</xdr:col>
      <xdr:colOff>1680</xdr:colOff>
      <xdr:row>5</xdr:row>
      <xdr:rowOff>123825</xdr:rowOff>
    </xdr:to>
    <xdr:pic>
      <xdr:nvPicPr>
        <xdr:cNvPr id="18" name="Resim 1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57150"/>
          <a:ext cx="1085849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10</xdr:col>
      <xdr:colOff>0</xdr:colOff>
      <xdr:row>0</xdr:row>
      <xdr:rowOff>66675</xdr:rowOff>
    </xdr:from>
    <xdr:ext cx="2343150" cy="914400"/>
    <xdr:pic>
      <xdr:nvPicPr>
        <xdr:cNvPr id="17" name="Resim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66675"/>
          <a:ext cx="23431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13608</xdr:colOff>
      <xdr:row>65</xdr:row>
      <xdr:rowOff>10</xdr:rowOff>
    </xdr:from>
    <xdr:to>
      <xdr:col>26</xdr:col>
      <xdr:colOff>1</xdr:colOff>
      <xdr:row>72</xdr:row>
      <xdr:rowOff>0</xdr:rowOff>
    </xdr:to>
    <xdr:grpSp>
      <xdr:nvGrpSpPr>
        <xdr:cNvPr id="2" name="Group 7"/>
        <xdr:cNvGrpSpPr>
          <a:grpSpLocks/>
        </xdr:cNvGrpSpPr>
      </xdr:nvGrpSpPr>
      <xdr:grpSpPr bwMode="auto">
        <a:xfrm>
          <a:off x="13608" y="18274403"/>
          <a:ext cx="11457214" cy="1904990"/>
          <a:chOff x="419604" y="13428503"/>
          <a:chExt cx="6508075" cy="1251160"/>
        </a:xfrm>
      </xdr:grpSpPr>
      <xdr:sp macro="" textlink="Dizayn!$F$20">
        <xdr:nvSpPr>
          <xdr:cNvPr id="3" name="TextBox 4"/>
          <xdr:cNvSpPr txBox="1"/>
        </xdr:nvSpPr>
        <xdr:spPr>
          <a:xfrm>
            <a:off x="3657815" y="13612320"/>
            <a:ext cx="1105622" cy="1067343"/>
          </a:xfrm>
          <a:prstGeom prst="rect">
            <a:avLst/>
          </a:prstGeom>
          <a:solidFill>
            <a:schemeClr val="lt1"/>
          </a:solidFill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ctr"/>
            <a:fld id="{B88F777E-C1E4-4824-A365-68846AA594A0}" type="TxLink">
              <a:rPr lang="en-US" sz="11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
...../...../.........</a:t>
            </a:fld>
            <a:endParaRPr lang="tr-TR" sz="11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grpSp>
        <xdr:nvGrpSpPr>
          <xdr:cNvPr id="4" name="Group 9"/>
          <xdr:cNvGrpSpPr>
            <a:grpSpLocks/>
          </xdr:cNvGrpSpPr>
        </xdr:nvGrpSpPr>
        <xdr:grpSpPr bwMode="auto">
          <a:xfrm>
            <a:off x="419604" y="13428503"/>
            <a:ext cx="6508075" cy="1251160"/>
            <a:chOff x="419604" y="13428503"/>
            <a:chExt cx="6508075" cy="1251160"/>
          </a:xfrm>
        </xdr:grpSpPr>
        <xdr:sp macro="" textlink="">
          <xdr:nvSpPr>
            <xdr:cNvPr id="5" name="TextBox 6"/>
            <xdr:cNvSpPr txBox="1"/>
          </xdr:nvSpPr>
          <xdr:spPr>
            <a:xfrm>
              <a:off x="419604" y="13428505"/>
              <a:ext cx="2169119" cy="183813"/>
            </a:xfrm>
            <a:prstGeom prst="rect">
              <a:avLst/>
            </a:prstGeom>
            <a:noFill/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tIns="0" bIns="0" rtlCol="0" anchor="ctr"/>
            <a:lstStyle/>
            <a:p>
              <a:pPr algn="ctr"/>
              <a:r>
                <a:rPr lang="tr-TR" sz="1100" b="1">
                  <a:latin typeface="Arial" panose="020B0604020202020204" pitchFamily="34" charset="0"/>
                  <a:cs typeface="Arial" panose="020B0604020202020204" pitchFamily="34" charset="0"/>
                </a:rPr>
                <a:t>YÜKLENİCİ</a:t>
              </a:r>
            </a:p>
          </xdr:txBody>
        </xdr:sp>
        <xdr:sp macro="" textlink="">
          <xdr:nvSpPr>
            <xdr:cNvPr id="6" name="TextBox 7"/>
            <xdr:cNvSpPr txBox="1"/>
          </xdr:nvSpPr>
          <xdr:spPr>
            <a:xfrm>
              <a:off x="4760878" y="13428503"/>
              <a:ext cx="2166801" cy="183813"/>
            </a:xfrm>
            <a:prstGeom prst="rect">
              <a:avLst/>
            </a:prstGeom>
            <a:noFill/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tr-TR" sz="1100" b="1">
                  <a:latin typeface="Arial" panose="020B0604020202020204" pitchFamily="34" charset="0"/>
                  <a:cs typeface="Arial" panose="020B0604020202020204" pitchFamily="34" charset="0"/>
                </a:rPr>
                <a:t>İDARE</a:t>
              </a:r>
            </a:p>
          </xdr:txBody>
        </xdr:sp>
        <xdr:sp macro="" textlink="">
          <xdr:nvSpPr>
            <xdr:cNvPr id="7" name="TextBox 8"/>
            <xdr:cNvSpPr txBox="1"/>
          </xdr:nvSpPr>
          <xdr:spPr>
            <a:xfrm>
              <a:off x="2588723" y="13428509"/>
              <a:ext cx="2172156" cy="183813"/>
            </a:xfrm>
            <a:prstGeom prst="rect">
              <a:avLst/>
            </a:prstGeom>
            <a:noFill/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tr-TR" sz="1100" b="1">
                  <a:latin typeface="Arial" panose="020B0604020202020204" pitchFamily="34" charset="0"/>
                  <a:cs typeface="Arial" panose="020B0604020202020204" pitchFamily="34" charset="0"/>
                </a:rPr>
                <a:t>MÜŞAVİR</a:t>
              </a:r>
            </a:p>
          </xdr:txBody>
        </xdr:sp>
        <xdr:sp macro="" textlink="Dizayn!$F$14">
          <xdr:nvSpPr>
            <xdr:cNvPr id="8" name="TextBox 9"/>
            <xdr:cNvSpPr txBox="1"/>
          </xdr:nvSpPr>
          <xdr:spPr>
            <a:xfrm>
              <a:off x="419604" y="13612319"/>
              <a:ext cx="1079563" cy="106734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974B5D6D-6D97-4DBC-B41F-77A85594DCF2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Lab. Teknisyeni
Lab. Teknisyeni
...../...../.........</a:t>
              </a:fld>
              <a:endParaRPr lang="tr-TR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Dizayn!$F$16">
          <xdr:nvSpPr>
            <xdr:cNvPr id="9" name="TextBox 10"/>
            <xdr:cNvSpPr txBox="1"/>
          </xdr:nvSpPr>
          <xdr:spPr>
            <a:xfrm>
              <a:off x="1499168" y="13612320"/>
              <a:ext cx="1089555" cy="10673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32106A95-3B41-458C-915F-EB96D628FE84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Şantiye Şefi
Şantiye Şefi
...../...../.........</a:t>
              </a:fld>
              <a:endParaRPr lang="tr-TR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Dizayn!$F$18">
          <xdr:nvSpPr>
            <xdr:cNvPr id="10" name="TextBox 11"/>
            <xdr:cNvSpPr txBox="1"/>
          </xdr:nvSpPr>
          <xdr:spPr>
            <a:xfrm>
              <a:off x="2588723" y="13612320"/>
              <a:ext cx="1069091" cy="10673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65DA8B73-B566-4860-9E04-CB2A85D81846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Lab. Teknisyeni
Lab. Teknisyeni
...../...../.........</a:t>
              </a:fld>
              <a:endParaRPr lang="tr-TR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Dizayn!$F$22">
          <xdr:nvSpPr>
            <xdr:cNvPr id="11" name="TextBox 12"/>
            <xdr:cNvSpPr txBox="1"/>
          </xdr:nvSpPr>
          <xdr:spPr>
            <a:xfrm>
              <a:off x="4760878" y="13612320"/>
              <a:ext cx="1082359" cy="10673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6C673218-7AAF-45F5-A6E5-FD1C0B4141F9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
...../...../.........</a:t>
              </a:fld>
              <a:endParaRPr lang="tr-TR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Dizayn!$F$24">
          <xdr:nvSpPr>
            <xdr:cNvPr id="12" name="TextBox 13"/>
            <xdr:cNvSpPr txBox="1"/>
          </xdr:nvSpPr>
          <xdr:spPr>
            <a:xfrm>
              <a:off x="5843238" y="13612320"/>
              <a:ext cx="1084441" cy="10673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059AA4D6-9B51-4CEF-86F2-29277D0A6879}" type="TxLink">
                <a:rPr lang="en-US" sz="11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
...../...../.........</a:t>
              </a:fld>
              <a:endParaRPr lang="tr-TR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</xdr:grpSp>
    <xdr:clientData/>
  </xdr:twoCellAnchor>
  <xdr:oneCellAnchor>
    <xdr:from>
      <xdr:col>9</xdr:col>
      <xdr:colOff>258532</xdr:colOff>
      <xdr:row>0</xdr:row>
      <xdr:rowOff>95249</xdr:rowOff>
    </xdr:from>
    <xdr:ext cx="3088823" cy="1205395"/>
    <xdr:pic>
      <xdr:nvPicPr>
        <xdr:cNvPr id="13" name="Resim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7582" y="95249"/>
          <a:ext cx="3088823" cy="12053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405402</xdr:colOff>
      <xdr:row>0</xdr:row>
      <xdr:rowOff>78409</xdr:rowOff>
    </xdr:from>
    <xdr:ext cx="1445265" cy="1229745"/>
    <xdr:pic>
      <xdr:nvPicPr>
        <xdr:cNvPr id="14" name="Resim 1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1202" y="78409"/>
          <a:ext cx="1445265" cy="1229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180975</xdr:colOff>
      <xdr:row>42</xdr:row>
      <xdr:rowOff>171450</xdr:rowOff>
    </xdr:from>
    <xdr:to>
      <xdr:col>26</xdr:col>
      <xdr:colOff>409575</xdr:colOff>
      <xdr:row>42</xdr:row>
      <xdr:rowOff>171450</xdr:rowOff>
    </xdr:to>
    <xdr:sp macro="" textlink="">
      <xdr:nvSpPr>
        <xdr:cNvPr id="2" name="Line 18"/>
        <xdr:cNvSpPr>
          <a:spLocks noChangeShapeType="1"/>
        </xdr:cNvSpPr>
      </xdr:nvSpPr>
      <xdr:spPr bwMode="auto">
        <a:xfrm>
          <a:off x="16030575" y="8172450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0.13678</cdr:x>
      <cdr:y>0.07557</cdr:y>
    </cdr:from>
    <cdr:to>
      <cdr:x>0.13678</cdr:x>
      <cdr:y>0.84827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833809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0.24797</cdr:x>
      <cdr:y>0.07557</cdr:y>
    </cdr:from>
    <cdr:to>
      <cdr:x>0.24797</cdr:x>
      <cdr:y>0.84827</cdr:y>
    </cdr:to>
    <cdr:cxnSp macro="">
      <cdr:nvCxnSpPr>
        <cdr:cNvPr id="7" name="Straight Connector 6"/>
        <cdr:cNvCxnSpPr/>
      </cdr:nvCxnSpPr>
      <cdr:spPr>
        <a:xfrm xmlns:a="http://schemas.openxmlformats.org/drawingml/2006/main" flipV="1">
          <a:off x="1511621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0.3534</cdr:x>
      <cdr:y>0.07557</cdr:y>
    </cdr:from>
    <cdr:to>
      <cdr:x>0.3534</cdr:x>
      <cdr:y>0.84827</cdr:y>
    </cdr:to>
    <cdr:cxnSp macro="">
      <cdr:nvCxnSpPr>
        <cdr:cNvPr id="8" name="Straight Connector 7"/>
        <cdr:cNvCxnSpPr/>
      </cdr:nvCxnSpPr>
      <cdr:spPr>
        <a:xfrm xmlns:a="http://schemas.openxmlformats.org/drawingml/2006/main" flipV="1">
          <a:off x="2154302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0.55235</cdr:x>
      <cdr:y>0.07557</cdr:y>
    </cdr:from>
    <cdr:to>
      <cdr:x>0.55235</cdr:x>
      <cdr:y>0.84827</cdr:y>
    </cdr:to>
    <cdr:cxnSp macro="">
      <cdr:nvCxnSpPr>
        <cdr:cNvPr id="9" name="Straight Connector 8"/>
        <cdr:cNvCxnSpPr/>
      </cdr:nvCxnSpPr>
      <cdr:spPr>
        <a:xfrm xmlns:a="http://schemas.openxmlformats.org/drawingml/2006/main" flipV="1">
          <a:off x="3317609" y="289615"/>
          <a:ext cx="0" cy="296130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0.65956</cdr:x>
      <cdr:y>0.07557</cdr:y>
    </cdr:from>
    <cdr:to>
      <cdr:x>0.65956</cdr:x>
      <cdr:y>0.84827</cdr:y>
    </cdr:to>
    <cdr:cxnSp macro="">
      <cdr:nvCxnSpPr>
        <cdr:cNvPr id="10" name="Straight Connector 9"/>
        <cdr:cNvCxnSpPr/>
      </cdr:nvCxnSpPr>
      <cdr:spPr>
        <a:xfrm xmlns:a="http://schemas.openxmlformats.org/drawingml/2006/main" flipV="1">
          <a:off x="4020658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0.74789</cdr:x>
      <cdr:y>0.07557</cdr:y>
    </cdr:from>
    <cdr:to>
      <cdr:x>0.74789</cdr:x>
      <cdr:y>0.84827</cdr:y>
    </cdr:to>
    <cdr:cxnSp macro="">
      <cdr:nvCxnSpPr>
        <cdr:cNvPr id="11" name="Straight Connector 10"/>
        <cdr:cNvCxnSpPr/>
      </cdr:nvCxnSpPr>
      <cdr:spPr>
        <a:xfrm xmlns:a="http://schemas.openxmlformats.org/drawingml/2006/main" flipV="1">
          <a:off x="4559158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0.78351</cdr:x>
      <cdr:y>0.07557</cdr:y>
    </cdr:from>
    <cdr:to>
      <cdr:x>0.78351</cdr:x>
      <cdr:y>0.84827</cdr:y>
    </cdr:to>
    <cdr:cxnSp macro="">
      <cdr:nvCxnSpPr>
        <cdr:cNvPr id="13" name="Straight Connector 12"/>
        <cdr:cNvCxnSpPr/>
      </cdr:nvCxnSpPr>
      <cdr:spPr>
        <a:xfrm xmlns:a="http://schemas.openxmlformats.org/drawingml/2006/main" flipV="1">
          <a:off x="4776294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0.83393</cdr:x>
      <cdr:y>0.07557</cdr:y>
    </cdr:from>
    <cdr:to>
      <cdr:x>0.83393</cdr:x>
      <cdr:y>0.84827</cdr:y>
    </cdr:to>
    <cdr:cxnSp macro="">
      <cdr:nvCxnSpPr>
        <cdr:cNvPr id="14" name="Straight Connector 13"/>
        <cdr:cNvCxnSpPr/>
      </cdr:nvCxnSpPr>
      <cdr:spPr>
        <a:xfrm xmlns:a="http://schemas.openxmlformats.org/drawingml/2006/main" flipV="1">
          <a:off x="5083667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0.87042</cdr:x>
      <cdr:y>0.07557</cdr:y>
    </cdr:from>
    <cdr:to>
      <cdr:x>0.87042</cdr:x>
      <cdr:y>0.84827</cdr:y>
    </cdr:to>
    <cdr:cxnSp macro="">
      <cdr:nvCxnSpPr>
        <cdr:cNvPr id="15" name="Straight Connector 14"/>
        <cdr:cNvCxnSpPr/>
      </cdr:nvCxnSpPr>
      <cdr:spPr>
        <a:xfrm xmlns:a="http://schemas.openxmlformats.org/drawingml/2006/main" flipV="1">
          <a:off x="5306109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0.91842</cdr:x>
      <cdr:y>0.07557</cdr:y>
    </cdr:from>
    <cdr:to>
      <cdr:x>0.91842</cdr:x>
      <cdr:y>0.84827</cdr:y>
    </cdr:to>
    <cdr:cxnSp macro="">
      <cdr:nvCxnSpPr>
        <cdr:cNvPr id="16" name="Straight Connector 15"/>
        <cdr:cNvCxnSpPr/>
      </cdr:nvCxnSpPr>
      <cdr:spPr>
        <a:xfrm xmlns:a="http://schemas.openxmlformats.org/drawingml/2006/main" flipV="1">
          <a:off x="5598666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0.26902</cdr:x>
      <cdr:y>0.02667</cdr:y>
    </cdr:from>
    <cdr:to>
      <cdr:x>0.41902</cdr:x>
      <cdr:y>0.272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1639957" y="9939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r-TR" sz="1100"/>
        </a:p>
      </cdr:txBody>
    </cdr:sp>
  </cdr:relSizeAnchor>
  <cdr:relSizeAnchor xmlns:cdr="http://schemas.openxmlformats.org/drawingml/2006/chartDrawing">
    <cdr:from>
      <cdr:x>0.09103</cdr:x>
      <cdr:y>0.03363</cdr:y>
    </cdr:from>
    <cdr:to>
      <cdr:x>0.9769</cdr:x>
      <cdr:y>0.09141</cdr:y>
    </cdr:to>
    <cdr:grpSp>
      <cdr:nvGrpSpPr>
        <cdr:cNvPr id="31" name="Group 30"/>
        <cdr:cNvGrpSpPr/>
      </cdr:nvGrpSpPr>
      <cdr:grpSpPr>
        <a:xfrm xmlns:a="http://schemas.openxmlformats.org/drawingml/2006/main">
          <a:off x="531814" y="130015"/>
          <a:ext cx="5175418" cy="223379"/>
          <a:chOff x="546653" y="108779"/>
          <a:chExt cx="5400260" cy="215348"/>
        </a:xfrm>
      </cdr:grpSpPr>
      <cdr:sp macro="" textlink="">
        <cdr:nvSpPr>
          <cdr:cNvPr id="21" name="TextBox 20"/>
          <cdr:cNvSpPr txBox="1"/>
        </cdr:nvSpPr>
        <cdr:spPr>
          <a:xfrm xmlns:a="http://schemas.openxmlformats.org/drawingml/2006/main">
            <a:off x="546653" y="108779"/>
            <a:ext cx="57978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No.200</a:t>
            </a:r>
          </a:p>
        </cdr:txBody>
      </cdr:sp>
      <cdr:sp macro="" textlink="">
        <cdr:nvSpPr>
          <cdr:cNvPr id="22" name="TextBox 1"/>
          <cdr:cNvSpPr txBox="1"/>
        </cdr:nvSpPr>
        <cdr:spPr>
          <a:xfrm xmlns:a="http://schemas.openxmlformats.org/drawingml/2006/main">
            <a:off x="1235213" y="108779"/>
            <a:ext cx="57978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No.80</a:t>
            </a:r>
          </a:p>
        </cdr:txBody>
      </cdr:sp>
      <cdr:sp macro="" textlink="">
        <cdr:nvSpPr>
          <cdr:cNvPr id="23" name="TextBox 1"/>
          <cdr:cNvSpPr txBox="1"/>
        </cdr:nvSpPr>
        <cdr:spPr>
          <a:xfrm xmlns:a="http://schemas.openxmlformats.org/drawingml/2006/main">
            <a:off x="1848126" y="108779"/>
            <a:ext cx="57978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No.40</a:t>
            </a:r>
          </a:p>
        </cdr:txBody>
      </cdr:sp>
      <cdr:sp macro="" textlink="">
        <cdr:nvSpPr>
          <cdr:cNvPr id="24" name="TextBox 1"/>
          <cdr:cNvSpPr txBox="1"/>
        </cdr:nvSpPr>
        <cdr:spPr>
          <a:xfrm xmlns:a="http://schemas.openxmlformats.org/drawingml/2006/main">
            <a:off x="3107082" y="108779"/>
            <a:ext cx="495853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No.10</a:t>
            </a:r>
          </a:p>
        </cdr:txBody>
      </cdr:sp>
      <cdr:sp macro="" textlink="">
        <cdr:nvSpPr>
          <cdr:cNvPr id="25" name="TextBox 1"/>
          <cdr:cNvSpPr txBox="1"/>
        </cdr:nvSpPr>
        <cdr:spPr>
          <a:xfrm xmlns:a="http://schemas.openxmlformats.org/drawingml/2006/main">
            <a:off x="3786256" y="108779"/>
            <a:ext cx="42959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No.4</a:t>
            </a: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4349475" y="108779"/>
            <a:ext cx="413026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3/8"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4573104" y="108779"/>
            <a:ext cx="413026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1/2"</a:t>
            </a:r>
          </a:p>
        </cdr:txBody>
      </cdr:sp>
      <cdr:sp macro="" textlink="">
        <cdr:nvSpPr>
          <cdr:cNvPr id="28" name="TextBox 1"/>
          <cdr:cNvSpPr txBox="1"/>
        </cdr:nvSpPr>
        <cdr:spPr>
          <a:xfrm xmlns:a="http://schemas.openxmlformats.org/drawingml/2006/main">
            <a:off x="4912692" y="108779"/>
            <a:ext cx="413026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3/4"</a:t>
            </a:r>
          </a:p>
        </cdr:txBody>
      </cdr:sp>
      <cdr:sp macro="" textlink="">
        <cdr:nvSpPr>
          <cdr:cNvPr id="29" name="TextBox 1"/>
          <cdr:cNvSpPr txBox="1"/>
        </cdr:nvSpPr>
        <cdr:spPr>
          <a:xfrm xmlns:a="http://schemas.openxmlformats.org/drawingml/2006/main">
            <a:off x="5186017" y="108779"/>
            <a:ext cx="288787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1"</a:t>
            </a:r>
          </a:p>
        </cdr:txBody>
      </cdr:sp>
      <cdr:sp macro="" textlink="">
        <cdr:nvSpPr>
          <cdr:cNvPr id="30" name="TextBox 1"/>
          <cdr:cNvSpPr txBox="1"/>
        </cdr:nvSpPr>
        <cdr:spPr>
          <a:xfrm xmlns:a="http://schemas.openxmlformats.org/drawingml/2006/main">
            <a:off x="5451061" y="108779"/>
            <a:ext cx="49585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1 1/2"</a:t>
            </a:r>
          </a:p>
        </cdr:txBody>
      </cdr:sp>
    </cdr:grpSp>
  </cdr:relSizeAnchor>
  <cdr:relSizeAnchor xmlns:cdr="http://schemas.openxmlformats.org/drawingml/2006/chartDrawing">
    <cdr:from>
      <cdr:x>0.09661</cdr:x>
      <cdr:y>0.84786</cdr:y>
    </cdr:from>
    <cdr:to>
      <cdr:x>0.97494</cdr:x>
      <cdr:y>0.90564</cdr:y>
    </cdr:to>
    <cdr:grpSp>
      <cdr:nvGrpSpPr>
        <cdr:cNvPr id="32" name="Group 31"/>
        <cdr:cNvGrpSpPr/>
      </cdr:nvGrpSpPr>
      <cdr:grpSpPr>
        <a:xfrm xmlns:a="http://schemas.openxmlformats.org/drawingml/2006/main">
          <a:off x="564414" y="3277851"/>
          <a:ext cx="5131368" cy="223380"/>
          <a:chOff x="49696" y="-25834"/>
          <a:chExt cx="5354271" cy="215348"/>
        </a:xfrm>
      </cdr:grpSpPr>
      <cdr:sp macro="" textlink="">
        <cdr:nvSpPr>
          <cdr:cNvPr id="33" name="TextBox 2"/>
          <cdr:cNvSpPr txBox="1"/>
        </cdr:nvSpPr>
        <cdr:spPr>
          <a:xfrm xmlns:a="http://schemas.openxmlformats.org/drawingml/2006/main">
            <a:off x="49696" y="-25834"/>
            <a:ext cx="462721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0,075</a:t>
            </a:r>
          </a:p>
        </cdr:txBody>
      </cdr:sp>
      <cdr:sp macro="" textlink="">
        <cdr:nvSpPr>
          <cdr:cNvPr id="34" name="TextBox 1"/>
          <cdr:cNvSpPr txBox="1"/>
        </cdr:nvSpPr>
        <cdr:spPr>
          <a:xfrm xmlns:a="http://schemas.openxmlformats.org/drawingml/2006/main">
            <a:off x="738254" y="-25834"/>
            <a:ext cx="486467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0,180</a:t>
            </a:r>
          </a:p>
        </cdr:txBody>
      </cdr:sp>
      <cdr:sp macro="" textlink="">
        <cdr:nvSpPr>
          <cdr:cNvPr id="35" name="TextBox 1"/>
          <cdr:cNvSpPr txBox="1"/>
        </cdr:nvSpPr>
        <cdr:spPr>
          <a:xfrm xmlns:a="http://schemas.openxmlformats.org/drawingml/2006/main">
            <a:off x="1376015" y="-25834"/>
            <a:ext cx="494749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0,425</a:t>
            </a:r>
          </a:p>
        </cdr:txBody>
      </cdr:sp>
      <cdr:sp macro="" textlink="">
        <cdr:nvSpPr>
          <cdr:cNvPr id="36" name="TextBox 1"/>
          <cdr:cNvSpPr txBox="1"/>
        </cdr:nvSpPr>
        <cdr:spPr>
          <a:xfrm xmlns:a="http://schemas.openxmlformats.org/drawingml/2006/main">
            <a:off x="2634973" y="-25834"/>
            <a:ext cx="395358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2,00</a:t>
            </a:r>
          </a:p>
        </cdr:txBody>
      </cdr:sp>
      <cdr:sp macro="" textlink="">
        <cdr:nvSpPr>
          <cdr:cNvPr id="37" name="TextBox 1"/>
          <cdr:cNvSpPr txBox="1"/>
        </cdr:nvSpPr>
        <cdr:spPr>
          <a:xfrm xmlns:a="http://schemas.openxmlformats.org/drawingml/2006/main">
            <a:off x="3239603" y="-25834"/>
            <a:ext cx="42959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4,75</a:t>
            </a:r>
          </a:p>
        </cdr:txBody>
      </cdr:sp>
      <cdr:sp macro="" textlink="">
        <cdr:nvSpPr>
          <cdr:cNvPr id="38" name="TextBox 1"/>
          <cdr:cNvSpPr txBox="1"/>
        </cdr:nvSpPr>
        <cdr:spPr>
          <a:xfrm xmlns:a="http://schemas.openxmlformats.org/drawingml/2006/main">
            <a:off x="3840420" y="-25834"/>
            <a:ext cx="415556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9,5</a:t>
            </a:r>
          </a:p>
        </cdr:txBody>
      </cdr:sp>
      <cdr:sp macro="" textlink="">
        <cdr:nvSpPr>
          <cdr:cNvPr id="39" name="TextBox 1"/>
          <cdr:cNvSpPr txBox="1"/>
        </cdr:nvSpPr>
        <cdr:spPr>
          <a:xfrm xmlns:a="http://schemas.openxmlformats.org/drawingml/2006/main">
            <a:off x="4051137" y="-25834"/>
            <a:ext cx="395358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12,7</a:t>
            </a:r>
          </a:p>
        </cdr:txBody>
      </cdr:sp>
      <cdr:sp macro="" textlink="">
        <cdr:nvSpPr>
          <cdr:cNvPr id="40" name="TextBox 1"/>
          <cdr:cNvSpPr txBox="1"/>
        </cdr:nvSpPr>
        <cdr:spPr>
          <a:xfrm xmlns:a="http://schemas.openxmlformats.org/drawingml/2006/main">
            <a:off x="4342405" y="-25834"/>
            <a:ext cx="413026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19,1</a:t>
            </a:r>
          </a:p>
        </cdr:txBody>
      </cdr:sp>
      <cdr:sp macro="" textlink="">
        <cdr:nvSpPr>
          <cdr:cNvPr id="41" name="TextBox 1"/>
          <cdr:cNvSpPr txBox="1"/>
        </cdr:nvSpPr>
        <cdr:spPr>
          <a:xfrm xmlns:a="http://schemas.openxmlformats.org/drawingml/2006/main">
            <a:off x="4613291" y="-25834"/>
            <a:ext cx="41887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25,4</a:t>
            </a:r>
          </a:p>
        </cdr:txBody>
      </cdr:sp>
      <cdr:sp macro="" textlink="">
        <cdr:nvSpPr>
          <cdr:cNvPr id="42" name="TextBox 1"/>
          <cdr:cNvSpPr txBox="1"/>
        </cdr:nvSpPr>
        <cdr:spPr>
          <a:xfrm xmlns:a="http://schemas.openxmlformats.org/drawingml/2006/main">
            <a:off x="4908115" y="-25834"/>
            <a:ext cx="49585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37,5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25</xdr:row>
      <xdr:rowOff>0</xdr:rowOff>
    </xdr:from>
    <xdr:to>
      <xdr:col>8</xdr:col>
      <xdr:colOff>571500</xdr:colOff>
      <xdr:row>25</xdr:row>
      <xdr:rowOff>0</xdr:rowOff>
    </xdr:to>
    <xdr:graphicFrame macro="">
      <xdr:nvGraphicFramePr>
        <xdr:cNvPr id="2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25</xdr:row>
          <xdr:rowOff>57150</xdr:rowOff>
        </xdr:from>
        <xdr:to>
          <xdr:col>15</xdr:col>
          <xdr:colOff>0</xdr:colOff>
          <xdr:row>25</xdr:row>
          <xdr:rowOff>57150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25</xdr:row>
          <xdr:rowOff>57150</xdr:rowOff>
        </xdr:from>
        <xdr:to>
          <xdr:col>15</xdr:col>
          <xdr:colOff>0</xdr:colOff>
          <xdr:row>25</xdr:row>
          <xdr:rowOff>57150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19051</xdr:colOff>
      <xdr:row>49</xdr:row>
      <xdr:rowOff>0</xdr:rowOff>
    </xdr:from>
    <xdr:to>
      <xdr:col>33</xdr:col>
      <xdr:colOff>0</xdr:colOff>
      <xdr:row>58</xdr:row>
      <xdr:rowOff>0</xdr:rowOff>
    </xdr:to>
    <xdr:grpSp>
      <xdr:nvGrpSpPr>
        <xdr:cNvPr id="19" name="Group 7"/>
        <xdr:cNvGrpSpPr>
          <a:grpSpLocks/>
        </xdr:cNvGrpSpPr>
      </xdr:nvGrpSpPr>
      <xdr:grpSpPr bwMode="auto">
        <a:xfrm>
          <a:off x="19051" y="8236324"/>
          <a:ext cx="5897655" cy="1512794"/>
          <a:chOff x="419604" y="13428503"/>
          <a:chExt cx="6508075" cy="1251160"/>
        </a:xfrm>
      </xdr:grpSpPr>
      <xdr:sp macro="" textlink="Dizayn!$F$20">
        <xdr:nvSpPr>
          <xdr:cNvPr id="20" name="TextBox 4"/>
          <xdr:cNvSpPr txBox="1"/>
        </xdr:nvSpPr>
        <xdr:spPr>
          <a:xfrm>
            <a:off x="3657815" y="13612320"/>
            <a:ext cx="1105622" cy="1067343"/>
          </a:xfrm>
          <a:prstGeom prst="rect">
            <a:avLst/>
          </a:prstGeom>
          <a:solidFill>
            <a:schemeClr val="lt1"/>
          </a:solidFill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ctr"/>
            <a:fld id="{B88F777E-C1E4-4824-A365-68846AA594A0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
...../...../.........</a:t>
            </a:fld>
            <a:endParaRPr lang="tr-TR" sz="9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grpSp>
        <xdr:nvGrpSpPr>
          <xdr:cNvPr id="21" name="Group 9"/>
          <xdr:cNvGrpSpPr>
            <a:grpSpLocks/>
          </xdr:cNvGrpSpPr>
        </xdr:nvGrpSpPr>
        <xdr:grpSpPr bwMode="auto">
          <a:xfrm>
            <a:off x="419604" y="13428503"/>
            <a:ext cx="6508075" cy="1251160"/>
            <a:chOff x="419604" y="13428503"/>
            <a:chExt cx="6508075" cy="1251160"/>
          </a:xfrm>
        </xdr:grpSpPr>
        <xdr:sp macro="" textlink="">
          <xdr:nvSpPr>
            <xdr:cNvPr id="22" name="TextBox 6"/>
            <xdr:cNvSpPr txBox="1"/>
          </xdr:nvSpPr>
          <xdr:spPr>
            <a:xfrm>
              <a:off x="419604" y="13428505"/>
              <a:ext cx="2169119" cy="183813"/>
            </a:xfrm>
            <a:prstGeom prst="rect">
              <a:avLst/>
            </a:prstGeom>
            <a:noFill/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tIns="0" bIns="0" rtlCol="0" anchor="ctr"/>
            <a:lstStyle/>
            <a:p>
              <a:pPr algn="ctr"/>
              <a:r>
                <a:rPr lang="tr-TR" sz="1100" b="1">
                  <a:latin typeface="Arial" panose="020B0604020202020204" pitchFamily="34" charset="0"/>
                  <a:cs typeface="Arial" panose="020B0604020202020204" pitchFamily="34" charset="0"/>
                </a:rPr>
                <a:t>YÜKLENİCİ</a:t>
              </a:r>
            </a:p>
          </xdr:txBody>
        </xdr:sp>
        <xdr:sp macro="" textlink="">
          <xdr:nvSpPr>
            <xdr:cNvPr id="23" name="TextBox 7"/>
            <xdr:cNvSpPr txBox="1"/>
          </xdr:nvSpPr>
          <xdr:spPr>
            <a:xfrm>
              <a:off x="4760878" y="13428503"/>
              <a:ext cx="2166801" cy="183813"/>
            </a:xfrm>
            <a:prstGeom prst="rect">
              <a:avLst/>
            </a:prstGeom>
            <a:noFill/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tr-TR" sz="1100" b="1">
                  <a:latin typeface="Arial" panose="020B0604020202020204" pitchFamily="34" charset="0"/>
                  <a:cs typeface="Arial" panose="020B0604020202020204" pitchFamily="34" charset="0"/>
                </a:rPr>
                <a:t>İDARE</a:t>
              </a:r>
            </a:p>
          </xdr:txBody>
        </xdr:sp>
        <xdr:sp macro="" textlink="">
          <xdr:nvSpPr>
            <xdr:cNvPr id="24" name="TextBox 8"/>
            <xdr:cNvSpPr txBox="1"/>
          </xdr:nvSpPr>
          <xdr:spPr>
            <a:xfrm>
              <a:off x="2588723" y="13428509"/>
              <a:ext cx="2172156" cy="183813"/>
            </a:xfrm>
            <a:prstGeom prst="rect">
              <a:avLst/>
            </a:prstGeom>
            <a:noFill/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tr-TR" sz="1100" b="1">
                  <a:latin typeface="Arial" panose="020B0604020202020204" pitchFamily="34" charset="0"/>
                  <a:cs typeface="Arial" panose="020B0604020202020204" pitchFamily="34" charset="0"/>
                </a:rPr>
                <a:t>MÜŞAVİR</a:t>
              </a:r>
            </a:p>
          </xdr:txBody>
        </xdr:sp>
        <xdr:sp macro="" textlink="Dizayn!$F$14">
          <xdr:nvSpPr>
            <xdr:cNvPr id="25" name="TextBox 9"/>
            <xdr:cNvSpPr txBox="1"/>
          </xdr:nvSpPr>
          <xdr:spPr>
            <a:xfrm>
              <a:off x="419604" y="13612319"/>
              <a:ext cx="1079563" cy="106734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974B5D6D-6D97-4DBC-B41F-77A85594DCF2}" type="TxLink">
                <a:rPr lang="en-US" sz="9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Lab. Teknisyeni
Lab. Teknisyeni
...../...../.........</a:t>
              </a:fld>
              <a:endParaRPr lang="tr-TR" sz="9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Dizayn!$F$16">
          <xdr:nvSpPr>
            <xdr:cNvPr id="26" name="TextBox 10"/>
            <xdr:cNvSpPr txBox="1"/>
          </xdr:nvSpPr>
          <xdr:spPr>
            <a:xfrm>
              <a:off x="1499168" y="13612320"/>
              <a:ext cx="1089555" cy="10673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32106A95-3B41-458C-915F-EB96D628FE84}" type="TxLink">
                <a:rPr lang="en-US" sz="9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Şantiye Şefi
Şantiye Şefi
...../...../.........</a:t>
              </a:fld>
              <a:endParaRPr lang="tr-TR" sz="9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Dizayn!$F$18">
          <xdr:nvSpPr>
            <xdr:cNvPr id="27" name="TextBox 11"/>
            <xdr:cNvSpPr txBox="1"/>
          </xdr:nvSpPr>
          <xdr:spPr>
            <a:xfrm>
              <a:off x="2588723" y="13612320"/>
              <a:ext cx="1069091" cy="10673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65DA8B73-B566-4860-9E04-CB2A85D81846}" type="TxLink">
                <a:rPr lang="en-US" sz="9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Lab. Teknisyeni
Lab. Teknisyeni
...../...../.........</a:t>
              </a:fld>
              <a:endParaRPr lang="tr-TR" sz="9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Dizayn!$F$22">
          <xdr:nvSpPr>
            <xdr:cNvPr id="28" name="TextBox 12"/>
            <xdr:cNvSpPr txBox="1"/>
          </xdr:nvSpPr>
          <xdr:spPr>
            <a:xfrm>
              <a:off x="4760878" y="13612320"/>
              <a:ext cx="1082359" cy="10673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6C673218-7AAF-45F5-A6E5-FD1C0B4141F9}" type="TxLink">
                <a:rPr lang="en-US" sz="9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
...../...../.........</a:t>
              </a:fld>
              <a:endParaRPr lang="tr-TR" sz="9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Dizayn!$F$24">
          <xdr:nvSpPr>
            <xdr:cNvPr id="29" name="TextBox 13"/>
            <xdr:cNvSpPr txBox="1"/>
          </xdr:nvSpPr>
          <xdr:spPr>
            <a:xfrm>
              <a:off x="5843238" y="13612320"/>
              <a:ext cx="1084441" cy="10673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059AA4D6-9B51-4CEF-86F2-29277D0A6879}" type="TxLink">
                <a:rPr lang="en-US" sz="9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
...../...../.........</a:t>
              </a:fld>
              <a:endParaRPr lang="tr-TR" sz="9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</xdr:grpSp>
    <xdr:clientData/>
  </xdr:twoCellAnchor>
  <xdr:twoCellAnchor>
    <xdr:from>
      <xdr:col>0</xdr:col>
      <xdr:colOff>38100</xdr:colOff>
      <xdr:row>24</xdr:row>
      <xdr:rowOff>171449</xdr:rowOff>
    </xdr:from>
    <xdr:to>
      <xdr:col>32</xdr:col>
      <xdr:colOff>150900</xdr:colOff>
      <xdr:row>48</xdr:row>
      <xdr:rowOff>0</xdr:rowOff>
    </xdr:to>
    <xdr:graphicFrame macro="">
      <xdr:nvGraphicFramePr>
        <xdr:cNvPr id="32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0</xdr:colOff>
      <xdr:row>0</xdr:row>
      <xdr:rowOff>57150</xdr:rowOff>
    </xdr:from>
    <xdr:to>
      <xdr:col>30</xdr:col>
      <xdr:colOff>180974</xdr:colOff>
      <xdr:row>5</xdr:row>
      <xdr:rowOff>123825</xdr:rowOff>
    </xdr:to>
    <xdr:pic>
      <xdr:nvPicPr>
        <xdr:cNvPr id="30" name="Resim 2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57150"/>
          <a:ext cx="1085849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10</xdr:col>
      <xdr:colOff>0</xdr:colOff>
      <xdr:row>0</xdr:row>
      <xdr:rowOff>66675</xdr:rowOff>
    </xdr:from>
    <xdr:ext cx="2343150" cy="914400"/>
    <xdr:pic>
      <xdr:nvPicPr>
        <xdr:cNvPr id="33" name="Resim 3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66675"/>
          <a:ext cx="23431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0.13678</cdr:x>
      <cdr:y>0.07557</cdr:y>
    </cdr:from>
    <cdr:to>
      <cdr:x>0.13678</cdr:x>
      <cdr:y>0.84827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833809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0.24797</cdr:x>
      <cdr:y>0.07557</cdr:y>
    </cdr:from>
    <cdr:to>
      <cdr:x>0.24797</cdr:x>
      <cdr:y>0.84827</cdr:y>
    </cdr:to>
    <cdr:cxnSp macro="">
      <cdr:nvCxnSpPr>
        <cdr:cNvPr id="7" name="Straight Connector 6"/>
        <cdr:cNvCxnSpPr/>
      </cdr:nvCxnSpPr>
      <cdr:spPr>
        <a:xfrm xmlns:a="http://schemas.openxmlformats.org/drawingml/2006/main" flipV="1">
          <a:off x="1511621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0.3534</cdr:x>
      <cdr:y>0.07557</cdr:y>
    </cdr:from>
    <cdr:to>
      <cdr:x>0.3534</cdr:x>
      <cdr:y>0.84827</cdr:y>
    </cdr:to>
    <cdr:cxnSp macro="">
      <cdr:nvCxnSpPr>
        <cdr:cNvPr id="8" name="Straight Connector 7"/>
        <cdr:cNvCxnSpPr/>
      </cdr:nvCxnSpPr>
      <cdr:spPr>
        <a:xfrm xmlns:a="http://schemas.openxmlformats.org/drawingml/2006/main" flipV="1">
          <a:off x="2154302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0.55235</cdr:x>
      <cdr:y>0.07557</cdr:y>
    </cdr:from>
    <cdr:to>
      <cdr:x>0.55235</cdr:x>
      <cdr:y>0.84827</cdr:y>
    </cdr:to>
    <cdr:cxnSp macro="">
      <cdr:nvCxnSpPr>
        <cdr:cNvPr id="9" name="Straight Connector 8"/>
        <cdr:cNvCxnSpPr/>
      </cdr:nvCxnSpPr>
      <cdr:spPr>
        <a:xfrm xmlns:a="http://schemas.openxmlformats.org/drawingml/2006/main" flipV="1">
          <a:off x="3317609" y="289615"/>
          <a:ext cx="0" cy="296130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0.65956</cdr:x>
      <cdr:y>0.07557</cdr:y>
    </cdr:from>
    <cdr:to>
      <cdr:x>0.65956</cdr:x>
      <cdr:y>0.84827</cdr:y>
    </cdr:to>
    <cdr:cxnSp macro="">
      <cdr:nvCxnSpPr>
        <cdr:cNvPr id="10" name="Straight Connector 9"/>
        <cdr:cNvCxnSpPr/>
      </cdr:nvCxnSpPr>
      <cdr:spPr>
        <a:xfrm xmlns:a="http://schemas.openxmlformats.org/drawingml/2006/main" flipV="1">
          <a:off x="4020658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0.74789</cdr:x>
      <cdr:y>0.07557</cdr:y>
    </cdr:from>
    <cdr:to>
      <cdr:x>0.74789</cdr:x>
      <cdr:y>0.84827</cdr:y>
    </cdr:to>
    <cdr:cxnSp macro="">
      <cdr:nvCxnSpPr>
        <cdr:cNvPr id="11" name="Straight Connector 10"/>
        <cdr:cNvCxnSpPr/>
      </cdr:nvCxnSpPr>
      <cdr:spPr>
        <a:xfrm xmlns:a="http://schemas.openxmlformats.org/drawingml/2006/main" flipV="1">
          <a:off x="4559158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0.78351</cdr:x>
      <cdr:y>0.07557</cdr:y>
    </cdr:from>
    <cdr:to>
      <cdr:x>0.78351</cdr:x>
      <cdr:y>0.84827</cdr:y>
    </cdr:to>
    <cdr:cxnSp macro="">
      <cdr:nvCxnSpPr>
        <cdr:cNvPr id="13" name="Straight Connector 12"/>
        <cdr:cNvCxnSpPr/>
      </cdr:nvCxnSpPr>
      <cdr:spPr>
        <a:xfrm xmlns:a="http://schemas.openxmlformats.org/drawingml/2006/main" flipV="1">
          <a:off x="4776294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0.83393</cdr:x>
      <cdr:y>0.07557</cdr:y>
    </cdr:from>
    <cdr:to>
      <cdr:x>0.83393</cdr:x>
      <cdr:y>0.84827</cdr:y>
    </cdr:to>
    <cdr:cxnSp macro="">
      <cdr:nvCxnSpPr>
        <cdr:cNvPr id="14" name="Straight Connector 13"/>
        <cdr:cNvCxnSpPr/>
      </cdr:nvCxnSpPr>
      <cdr:spPr>
        <a:xfrm xmlns:a="http://schemas.openxmlformats.org/drawingml/2006/main" flipV="1">
          <a:off x="5083667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0.87042</cdr:x>
      <cdr:y>0.07557</cdr:y>
    </cdr:from>
    <cdr:to>
      <cdr:x>0.87042</cdr:x>
      <cdr:y>0.84827</cdr:y>
    </cdr:to>
    <cdr:cxnSp macro="">
      <cdr:nvCxnSpPr>
        <cdr:cNvPr id="15" name="Straight Connector 14"/>
        <cdr:cNvCxnSpPr/>
      </cdr:nvCxnSpPr>
      <cdr:spPr>
        <a:xfrm xmlns:a="http://schemas.openxmlformats.org/drawingml/2006/main" flipV="1">
          <a:off x="5306109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0.91842</cdr:x>
      <cdr:y>0.07557</cdr:y>
    </cdr:from>
    <cdr:to>
      <cdr:x>0.91842</cdr:x>
      <cdr:y>0.84827</cdr:y>
    </cdr:to>
    <cdr:cxnSp macro="">
      <cdr:nvCxnSpPr>
        <cdr:cNvPr id="16" name="Straight Connector 15"/>
        <cdr:cNvCxnSpPr/>
      </cdr:nvCxnSpPr>
      <cdr:spPr>
        <a:xfrm xmlns:a="http://schemas.openxmlformats.org/drawingml/2006/main" flipV="1">
          <a:off x="5598666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0.26902</cdr:x>
      <cdr:y>0.02667</cdr:y>
    </cdr:from>
    <cdr:to>
      <cdr:x>0.41902</cdr:x>
      <cdr:y>0.272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1639957" y="9939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r-TR" sz="1100"/>
        </a:p>
      </cdr:txBody>
    </cdr:sp>
  </cdr:relSizeAnchor>
  <cdr:relSizeAnchor xmlns:cdr="http://schemas.openxmlformats.org/drawingml/2006/chartDrawing">
    <cdr:from>
      <cdr:x>0.09103</cdr:x>
      <cdr:y>0.03363</cdr:y>
    </cdr:from>
    <cdr:to>
      <cdr:x>0.9769</cdr:x>
      <cdr:y>0.09141</cdr:y>
    </cdr:to>
    <cdr:grpSp>
      <cdr:nvGrpSpPr>
        <cdr:cNvPr id="31" name="Group 30"/>
        <cdr:cNvGrpSpPr/>
      </cdr:nvGrpSpPr>
      <cdr:grpSpPr>
        <a:xfrm xmlns:a="http://schemas.openxmlformats.org/drawingml/2006/main">
          <a:off x="532545" y="129902"/>
          <a:ext cx="5182527" cy="223184"/>
          <a:chOff x="546653" y="108779"/>
          <a:chExt cx="5400260" cy="215348"/>
        </a:xfrm>
      </cdr:grpSpPr>
      <cdr:sp macro="" textlink="">
        <cdr:nvSpPr>
          <cdr:cNvPr id="21" name="TextBox 20"/>
          <cdr:cNvSpPr txBox="1"/>
        </cdr:nvSpPr>
        <cdr:spPr>
          <a:xfrm xmlns:a="http://schemas.openxmlformats.org/drawingml/2006/main">
            <a:off x="546653" y="108779"/>
            <a:ext cx="57978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No.200</a:t>
            </a:r>
          </a:p>
        </cdr:txBody>
      </cdr:sp>
      <cdr:sp macro="" textlink="">
        <cdr:nvSpPr>
          <cdr:cNvPr id="22" name="TextBox 1"/>
          <cdr:cNvSpPr txBox="1"/>
        </cdr:nvSpPr>
        <cdr:spPr>
          <a:xfrm xmlns:a="http://schemas.openxmlformats.org/drawingml/2006/main">
            <a:off x="1235213" y="108779"/>
            <a:ext cx="57978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No.80</a:t>
            </a:r>
          </a:p>
        </cdr:txBody>
      </cdr:sp>
      <cdr:sp macro="" textlink="">
        <cdr:nvSpPr>
          <cdr:cNvPr id="23" name="TextBox 1"/>
          <cdr:cNvSpPr txBox="1"/>
        </cdr:nvSpPr>
        <cdr:spPr>
          <a:xfrm xmlns:a="http://schemas.openxmlformats.org/drawingml/2006/main">
            <a:off x="1848126" y="108779"/>
            <a:ext cx="57978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No.40</a:t>
            </a:r>
          </a:p>
        </cdr:txBody>
      </cdr:sp>
      <cdr:sp macro="" textlink="">
        <cdr:nvSpPr>
          <cdr:cNvPr id="24" name="TextBox 1"/>
          <cdr:cNvSpPr txBox="1"/>
        </cdr:nvSpPr>
        <cdr:spPr>
          <a:xfrm xmlns:a="http://schemas.openxmlformats.org/drawingml/2006/main">
            <a:off x="3107082" y="108779"/>
            <a:ext cx="495853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No.10</a:t>
            </a:r>
          </a:p>
        </cdr:txBody>
      </cdr:sp>
      <cdr:sp macro="" textlink="">
        <cdr:nvSpPr>
          <cdr:cNvPr id="25" name="TextBox 1"/>
          <cdr:cNvSpPr txBox="1"/>
        </cdr:nvSpPr>
        <cdr:spPr>
          <a:xfrm xmlns:a="http://schemas.openxmlformats.org/drawingml/2006/main">
            <a:off x="3786256" y="108779"/>
            <a:ext cx="42959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No.4</a:t>
            </a: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4349475" y="108779"/>
            <a:ext cx="413026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3/8"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4573104" y="108779"/>
            <a:ext cx="413026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1/2"</a:t>
            </a:r>
          </a:p>
        </cdr:txBody>
      </cdr:sp>
      <cdr:sp macro="" textlink="">
        <cdr:nvSpPr>
          <cdr:cNvPr id="28" name="TextBox 1"/>
          <cdr:cNvSpPr txBox="1"/>
        </cdr:nvSpPr>
        <cdr:spPr>
          <a:xfrm xmlns:a="http://schemas.openxmlformats.org/drawingml/2006/main">
            <a:off x="4912692" y="108779"/>
            <a:ext cx="413026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3/4"</a:t>
            </a:r>
          </a:p>
        </cdr:txBody>
      </cdr:sp>
      <cdr:sp macro="" textlink="">
        <cdr:nvSpPr>
          <cdr:cNvPr id="29" name="TextBox 1"/>
          <cdr:cNvSpPr txBox="1"/>
        </cdr:nvSpPr>
        <cdr:spPr>
          <a:xfrm xmlns:a="http://schemas.openxmlformats.org/drawingml/2006/main">
            <a:off x="5186017" y="108779"/>
            <a:ext cx="288787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1"</a:t>
            </a:r>
          </a:p>
        </cdr:txBody>
      </cdr:sp>
      <cdr:sp macro="" textlink="">
        <cdr:nvSpPr>
          <cdr:cNvPr id="30" name="TextBox 1"/>
          <cdr:cNvSpPr txBox="1"/>
        </cdr:nvSpPr>
        <cdr:spPr>
          <a:xfrm xmlns:a="http://schemas.openxmlformats.org/drawingml/2006/main">
            <a:off x="5451061" y="108779"/>
            <a:ext cx="49585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1 1/2"</a:t>
            </a:r>
          </a:p>
        </cdr:txBody>
      </cdr:sp>
    </cdr:grpSp>
  </cdr:relSizeAnchor>
  <cdr:relSizeAnchor xmlns:cdr="http://schemas.openxmlformats.org/drawingml/2006/chartDrawing">
    <cdr:from>
      <cdr:x>0.09801</cdr:x>
      <cdr:y>0.8403</cdr:y>
    </cdr:from>
    <cdr:to>
      <cdr:x>0.97283</cdr:x>
      <cdr:y>0.9003</cdr:y>
    </cdr:to>
    <cdr:grpSp>
      <cdr:nvGrpSpPr>
        <cdr:cNvPr id="32" name="Group 31"/>
        <cdr:cNvGrpSpPr/>
      </cdr:nvGrpSpPr>
      <cdr:grpSpPr>
        <a:xfrm xmlns:a="http://schemas.openxmlformats.org/drawingml/2006/main">
          <a:off x="573379" y="3245800"/>
          <a:ext cx="5117883" cy="231760"/>
          <a:chOff x="49696" y="0"/>
          <a:chExt cx="5332928" cy="223650"/>
        </a:xfrm>
      </cdr:grpSpPr>
      <cdr:sp macro="" textlink="">
        <cdr:nvSpPr>
          <cdr:cNvPr id="33" name="TextBox 2"/>
          <cdr:cNvSpPr txBox="1"/>
        </cdr:nvSpPr>
        <cdr:spPr>
          <a:xfrm xmlns:a="http://schemas.openxmlformats.org/drawingml/2006/main">
            <a:off x="49696" y="0"/>
            <a:ext cx="46272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0,075</a:t>
            </a:r>
          </a:p>
        </cdr:txBody>
      </cdr:sp>
      <cdr:sp macro="" textlink="">
        <cdr:nvSpPr>
          <cdr:cNvPr id="34" name="TextBox 1"/>
          <cdr:cNvSpPr txBox="1"/>
        </cdr:nvSpPr>
        <cdr:spPr>
          <a:xfrm xmlns:a="http://schemas.openxmlformats.org/drawingml/2006/main">
            <a:off x="738254" y="0"/>
            <a:ext cx="486467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0,180</a:t>
            </a:r>
          </a:p>
        </cdr:txBody>
      </cdr:sp>
      <cdr:sp macro="" textlink="">
        <cdr:nvSpPr>
          <cdr:cNvPr id="35" name="TextBox 1"/>
          <cdr:cNvSpPr txBox="1"/>
        </cdr:nvSpPr>
        <cdr:spPr>
          <a:xfrm xmlns:a="http://schemas.openxmlformats.org/drawingml/2006/main">
            <a:off x="1376015" y="0"/>
            <a:ext cx="494749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0,425</a:t>
            </a:r>
          </a:p>
        </cdr:txBody>
      </cdr:sp>
      <cdr:sp macro="" textlink="">
        <cdr:nvSpPr>
          <cdr:cNvPr id="36" name="TextBox 1"/>
          <cdr:cNvSpPr txBox="1"/>
        </cdr:nvSpPr>
        <cdr:spPr>
          <a:xfrm xmlns:a="http://schemas.openxmlformats.org/drawingml/2006/main">
            <a:off x="2634973" y="0"/>
            <a:ext cx="395358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2,00</a:t>
            </a:r>
          </a:p>
        </cdr:txBody>
      </cdr:sp>
      <cdr:sp macro="" textlink="">
        <cdr:nvSpPr>
          <cdr:cNvPr id="37" name="TextBox 1"/>
          <cdr:cNvSpPr txBox="1"/>
        </cdr:nvSpPr>
        <cdr:spPr>
          <a:xfrm xmlns:a="http://schemas.openxmlformats.org/drawingml/2006/main">
            <a:off x="3239603" y="0"/>
            <a:ext cx="42959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4,75</a:t>
            </a:r>
          </a:p>
        </cdr:txBody>
      </cdr:sp>
      <cdr:sp macro="" textlink="">
        <cdr:nvSpPr>
          <cdr:cNvPr id="38" name="TextBox 1"/>
          <cdr:cNvSpPr txBox="1"/>
        </cdr:nvSpPr>
        <cdr:spPr>
          <a:xfrm xmlns:a="http://schemas.openxmlformats.org/drawingml/2006/main">
            <a:off x="3754740" y="8302"/>
            <a:ext cx="415556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9,5</a:t>
            </a:r>
          </a:p>
        </cdr:txBody>
      </cdr:sp>
      <cdr:sp macro="" textlink="">
        <cdr:nvSpPr>
          <cdr:cNvPr id="39" name="TextBox 1"/>
          <cdr:cNvSpPr txBox="1"/>
        </cdr:nvSpPr>
        <cdr:spPr>
          <a:xfrm xmlns:a="http://schemas.openxmlformats.org/drawingml/2006/main">
            <a:off x="3990977" y="8302"/>
            <a:ext cx="395358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12,7</a:t>
            </a:r>
          </a:p>
        </cdr:txBody>
      </cdr:sp>
      <cdr:sp macro="" textlink="">
        <cdr:nvSpPr>
          <cdr:cNvPr id="40" name="TextBox 1"/>
          <cdr:cNvSpPr txBox="1"/>
        </cdr:nvSpPr>
        <cdr:spPr>
          <a:xfrm xmlns:a="http://schemas.openxmlformats.org/drawingml/2006/main">
            <a:off x="4297434" y="8302"/>
            <a:ext cx="413027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19,1</a:t>
            </a:r>
          </a:p>
        </cdr:txBody>
      </cdr:sp>
      <cdr:sp macro="" textlink="">
        <cdr:nvSpPr>
          <cdr:cNvPr id="41" name="TextBox 1"/>
          <cdr:cNvSpPr txBox="1"/>
        </cdr:nvSpPr>
        <cdr:spPr>
          <a:xfrm xmlns:a="http://schemas.openxmlformats.org/drawingml/2006/main">
            <a:off x="4570759" y="8302"/>
            <a:ext cx="41887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25,4</a:t>
            </a:r>
          </a:p>
        </cdr:txBody>
      </cdr:sp>
      <cdr:sp macro="" textlink="">
        <cdr:nvSpPr>
          <cdr:cNvPr id="42" name="TextBox 1"/>
          <cdr:cNvSpPr txBox="1"/>
        </cdr:nvSpPr>
        <cdr:spPr>
          <a:xfrm xmlns:a="http://schemas.openxmlformats.org/drawingml/2006/main">
            <a:off x="4886772" y="589"/>
            <a:ext cx="49585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37,5</a:t>
            </a:r>
          </a:p>
        </cdr:txBody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49</xdr:row>
      <xdr:rowOff>0</xdr:rowOff>
    </xdr:from>
    <xdr:to>
      <xdr:col>33</xdr:col>
      <xdr:colOff>0</xdr:colOff>
      <xdr:row>58</xdr:row>
      <xdr:rowOff>0</xdr:rowOff>
    </xdr:to>
    <xdr:grpSp>
      <xdr:nvGrpSpPr>
        <xdr:cNvPr id="27" name="Group 7"/>
        <xdr:cNvGrpSpPr>
          <a:grpSpLocks/>
        </xdr:cNvGrpSpPr>
      </xdr:nvGrpSpPr>
      <xdr:grpSpPr bwMode="auto">
        <a:xfrm>
          <a:off x="9525" y="8297333"/>
          <a:ext cx="5927725" cy="1524000"/>
          <a:chOff x="419604" y="13428503"/>
          <a:chExt cx="6508075" cy="1251160"/>
        </a:xfrm>
      </xdr:grpSpPr>
      <xdr:sp macro="" textlink="Dizayn!$F$20">
        <xdr:nvSpPr>
          <xdr:cNvPr id="28" name="TextBox 4"/>
          <xdr:cNvSpPr txBox="1"/>
        </xdr:nvSpPr>
        <xdr:spPr>
          <a:xfrm>
            <a:off x="3657815" y="13612320"/>
            <a:ext cx="1105622" cy="1067343"/>
          </a:xfrm>
          <a:prstGeom prst="rect">
            <a:avLst/>
          </a:prstGeom>
          <a:solidFill>
            <a:schemeClr val="lt1"/>
          </a:solidFill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ctr"/>
            <a:fld id="{B88F777E-C1E4-4824-A365-68846AA594A0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
...../...../.........</a:t>
            </a:fld>
            <a:endParaRPr lang="tr-TR" sz="9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grpSp>
        <xdr:nvGrpSpPr>
          <xdr:cNvPr id="29" name="Group 9"/>
          <xdr:cNvGrpSpPr>
            <a:grpSpLocks/>
          </xdr:cNvGrpSpPr>
        </xdr:nvGrpSpPr>
        <xdr:grpSpPr bwMode="auto">
          <a:xfrm>
            <a:off x="419604" y="13428503"/>
            <a:ext cx="6508075" cy="1251160"/>
            <a:chOff x="419604" y="13428503"/>
            <a:chExt cx="6508075" cy="1251160"/>
          </a:xfrm>
        </xdr:grpSpPr>
        <xdr:sp macro="" textlink="">
          <xdr:nvSpPr>
            <xdr:cNvPr id="30" name="TextBox 6"/>
            <xdr:cNvSpPr txBox="1"/>
          </xdr:nvSpPr>
          <xdr:spPr>
            <a:xfrm>
              <a:off x="419604" y="13428505"/>
              <a:ext cx="2169119" cy="183813"/>
            </a:xfrm>
            <a:prstGeom prst="rect">
              <a:avLst/>
            </a:prstGeom>
            <a:noFill/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tIns="0" bIns="0" rtlCol="0" anchor="ctr"/>
            <a:lstStyle/>
            <a:p>
              <a:pPr algn="ctr"/>
              <a:r>
                <a:rPr lang="tr-TR" sz="1100" b="1">
                  <a:latin typeface="Arial" panose="020B0604020202020204" pitchFamily="34" charset="0"/>
                  <a:cs typeface="Arial" panose="020B0604020202020204" pitchFamily="34" charset="0"/>
                </a:rPr>
                <a:t>YÜKLENİCİ</a:t>
              </a:r>
            </a:p>
          </xdr:txBody>
        </xdr:sp>
        <xdr:sp macro="" textlink="">
          <xdr:nvSpPr>
            <xdr:cNvPr id="31" name="TextBox 7"/>
            <xdr:cNvSpPr txBox="1"/>
          </xdr:nvSpPr>
          <xdr:spPr>
            <a:xfrm>
              <a:off x="4760878" y="13428503"/>
              <a:ext cx="2166801" cy="183813"/>
            </a:xfrm>
            <a:prstGeom prst="rect">
              <a:avLst/>
            </a:prstGeom>
            <a:noFill/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tr-TR" sz="1100" b="1">
                  <a:latin typeface="Arial" panose="020B0604020202020204" pitchFamily="34" charset="0"/>
                  <a:cs typeface="Arial" panose="020B0604020202020204" pitchFamily="34" charset="0"/>
                </a:rPr>
                <a:t>İDARE</a:t>
              </a:r>
            </a:p>
          </xdr:txBody>
        </xdr:sp>
        <xdr:sp macro="" textlink="">
          <xdr:nvSpPr>
            <xdr:cNvPr id="32" name="TextBox 8"/>
            <xdr:cNvSpPr txBox="1"/>
          </xdr:nvSpPr>
          <xdr:spPr>
            <a:xfrm>
              <a:off x="2588723" y="13428509"/>
              <a:ext cx="2172156" cy="183813"/>
            </a:xfrm>
            <a:prstGeom prst="rect">
              <a:avLst/>
            </a:prstGeom>
            <a:noFill/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tr-TR" sz="1100" b="1">
                  <a:latin typeface="Arial" panose="020B0604020202020204" pitchFamily="34" charset="0"/>
                  <a:cs typeface="Arial" panose="020B0604020202020204" pitchFamily="34" charset="0"/>
                </a:rPr>
                <a:t>MÜŞAVİR</a:t>
              </a:r>
            </a:p>
          </xdr:txBody>
        </xdr:sp>
        <xdr:sp macro="" textlink="Dizayn!$F$14">
          <xdr:nvSpPr>
            <xdr:cNvPr id="33" name="TextBox 9"/>
            <xdr:cNvSpPr txBox="1"/>
          </xdr:nvSpPr>
          <xdr:spPr>
            <a:xfrm>
              <a:off x="419604" y="13612319"/>
              <a:ext cx="1079563" cy="106734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974B5D6D-6D97-4DBC-B41F-77A85594DCF2}" type="TxLink">
                <a:rPr lang="en-US" sz="9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Lab. Teknisyeni
Lab. Teknisyeni
...../...../.........</a:t>
              </a:fld>
              <a:endParaRPr lang="tr-TR" sz="9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Dizayn!$F$16">
          <xdr:nvSpPr>
            <xdr:cNvPr id="34" name="TextBox 10"/>
            <xdr:cNvSpPr txBox="1"/>
          </xdr:nvSpPr>
          <xdr:spPr>
            <a:xfrm>
              <a:off x="1499168" y="13612320"/>
              <a:ext cx="1089555" cy="10673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32106A95-3B41-458C-915F-EB96D628FE84}" type="TxLink">
                <a:rPr lang="en-US" sz="9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Şantiye Şefi
Şantiye Şefi
...../...../.........</a:t>
              </a:fld>
              <a:endParaRPr lang="tr-TR" sz="9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Dizayn!$F$18">
          <xdr:nvSpPr>
            <xdr:cNvPr id="35" name="TextBox 11"/>
            <xdr:cNvSpPr txBox="1"/>
          </xdr:nvSpPr>
          <xdr:spPr>
            <a:xfrm>
              <a:off x="2588723" y="13612320"/>
              <a:ext cx="1069091" cy="10673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65DA8B73-B566-4860-9E04-CB2A85D81846}" type="TxLink">
                <a:rPr lang="en-US" sz="9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Lab. Teknisyeni
Lab. Teknisyeni
...../...../.........</a:t>
              </a:fld>
              <a:endParaRPr lang="tr-TR" sz="9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Dizayn!$F$22">
          <xdr:nvSpPr>
            <xdr:cNvPr id="36" name="TextBox 12"/>
            <xdr:cNvSpPr txBox="1"/>
          </xdr:nvSpPr>
          <xdr:spPr>
            <a:xfrm>
              <a:off x="4760878" y="13612320"/>
              <a:ext cx="1082359" cy="10673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6C673218-7AAF-45F5-A6E5-FD1C0B4141F9}" type="TxLink">
                <a:rPr lang="en-US" sz="9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
...../...../.........</a:t>
              </a:fld>
              <a:endParaRPr lang="tr-TR" sz="9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Dizayn!$F$24">
          <xdr:nvSpPr>
            <xdr:cNvPr id="37" name="TextBox 13"/>
            <xdr:cNvSpPr txBox="1"/>
          </xdr:nvSpPr>
          <xdr:spPr>
            <a:xfrm>
              <a:off x="5843238" y="13612320"/>
              <a:ext cx="1084441" cy="10673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059AA4D6-9B51-4CEF-86F2-29277D0A6879}" type="TxLink">
                <a:rPr lang="en-US" sz="9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
...../...../.........</a:t>
              </a:fld>
              <a:endParaRPr lang="tr-TR" sz="9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</xdr:grpSp>
    <xdr:clientData/>
  </xdr:twoCellAnchor>
  <xdr:twoCellAnchor>
    <xdr:from>
      <xdr:col>0</xdr:col>
      <xdr:colOff>28574</xdr:colOff>
      <xdr:row>24</xdr:row>
      <xdr:rowOff>171449</xdr:rowOff>
    </xdr:from>
    <xdr:to>
      <xdr:col>32</xdr:col>
      <xdr:colOff>131849</xdr:colOff>
      <xdr:row>48</xdr:row>
      <xdr:rowOff>0</xdr:rowOff>
    </xdr:to>
    <xdr:graphicFrame macro="">
      <xdr:nvGraphicFramePr>
        <xdr:cNvPr id="3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9525</xdr:colOff>
      <xdr:row>49</xdr:row>
      <xdr:rowOff>0</xdr:rowOff>
    </xdr:from>
    <xdr:to>
      <xdr:col>67</xdr:col>
      <xdr:colOff>0</xdr:colOff>
      <xdr:row>58</xdr:row>
      <xdr:rowOff>0</xdr:rowOff>
    </xdr:to>
    <xdr:grpSp>
      <xdr:nvGrpSpPr>
        <xdr:cNvPr id="15" name="Group 7"/>
        <xdr:cNvGrpSpPr>
          <a:grpSpLocks/>
        </xdr:cNvGrpSpPr>
      </xdr:nvGrpSpPr>
      <xdr:grpSpPr bwMode="auto">
        <a:xfrm>
          <a:off x="6126692" y="8297333"/>
          <a:ext cx="5927725" cy="1524000"/>
          <a:chOff x="419604" y="13428503"/>
          <a:chExt cx="6508075" cy="1251160"/>
        </a:xfrm>
      </xdr:grpSpPr>
      <xdr:sp macro="" textlink="Dizayn!$F$20">
        <xdr:nvSpPr>
          <xdr:cNvPr id="17" name="TextBox 4"/>
          <xdr:cNvSpPr txBox="1"/>
        </xdr:nvSpPr>
        <xdr:spPr>
          <a:xfrm>
            <a:off x="3657815" y="13612320"/>
            <a:ext cx="1105622" cy="1067343"/>
          </a:xfrm>
          <a:prstGeom prst="rect">
            <a:avLst/>
          </a:prstGeom>
          <a:solidFill>
            <a:schemeClr val="lt1"/>
          </a:solidFill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ctr"/>
            <a:fld id="{B88F777E-C1E4-4824-A365-68846AA594A0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
...../...../.........</a:t>
            </a:fld>
            <a:endParaRPr lang="tr-TR" sz="9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grpSp>
        <xdr:nvGrpSpPr>
          <xdr:cNvPr id="18" name="Group 9"/>
          <xdr:cNvGrpSpPr>
            <a:grpSpLocks/>
          </xdr:cNvGrpSpPr>
        </xdr:nvGrpSpPr>
        <xdr:grpSpPr bwMode="auto">
          <a:xfrm>
            <a:off x="419604" y="13428503"/>
            <a:ext cx="6508075" cy="1251160"/>
            <a:chOff x="419604" y="13428503"/>
            <a:chExt cx="6508075" cy="1251160"/>
          </a:xfrm>
        </xdr:grpSpPr>
        <xdr:sp macro="" textlink="">
          <xdr:nvSpPr>
            <xdr:cNvPr id="19" name="TextBox 6"/>
            <xdr:cNvSpPr txBox="1"/>
          </xdr:nvSpPr>
          <xdr:spPr>
            <a:xfrm>
              <a:off x="419604" y="13428505"/>
              <a:ext cx="2169119" cy="183813"/>
            </a:xfrm>
            <a:prstGeom prst="rect">
              <a:avLst/>
            </a:prstGeom>
            <a:noFill/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tIns="0" bIns="0" rtlCol="0" anchor="ctr"/>
            <a:lstStyle/>
            <a:p>
              <a:pPr algn="ctr"/>
              <a:r>
                <a:rPr lang="tr-TR" sz="1100" b="1">
                  <a:latin typeface="Arial" panose="020B0604020202020204" pitchFamily="34" charset="0"/>
                  <a:cs typeface="Arial" panose="020B0604020202020204" pitchFamily="34" charset="0"/>
                </a:rPr>
                <a:t>YÜKLENİCİ</a:t>
              </a:r>
            </a:p>
          </xdr:txBody>
        </xdr:sp>
        <xdr:sp macro="" textlink="">
          <xdr:nvSpPr>
            <xdr:cNvPr id="20" name="TextBox 7"/>
            <xdr:cNvSpPr txBox="1"/>
          </xdr:nvSpPr>
          <xdr:spPr>
            <a:xfrm>
              <a:off x="4760878" y="13428503"/>
              <a:ext cx="2166801" cy="183813"/>
            </a:xfrm>
            <a:prstGeom prst="rect">
              <a:avLst/>
            </a:prstGeom>
            <a:noFill/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tr-TR" sz="1100" b="1">
                  <a:latin typeface="Arial" panose="020B0604020202020204" pitchFamily="34" charset="0"/>
                  <a:cs typeface="Arial" panose="020B0604020202020204" pitchFamily="34" charset="0"/>
                </a:rPr>
                <a:t>İDARE</a:t>
              </a:r>
            </a:p>
          </xdr:txBody>
        </xdr:sp>
        <xdr:sp macro="" textlink="">
          <xdr:nvSpPr>
            <xdr:cNvPr id="21" name="TextBox 8"/>
            <xdr:cNvSpPr txBox="1"/>
          </xdr:nvSpPr>
          <xdr:spPr>
            <a:xfrm>
              <a:off x="2588723" y="13428509"/>
              <a:ext cx="2172156" cy="183813"/>
            </a:xfrm>
            <a:prstGeom prst="rect">
              <a:avLst/>
            </a:prstGeom>
            <a:noFill/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tr-TR" sz="1100" b="1">
                  <a:latin typeface="Arial" panose="020B0604020202020204" pitchFamily="34" charset="0"/>
                  <a:cs typeface="Arial" panose="020B0604020202020204" pitchFamily="34" charset="0"/>
                </a:rPr>
                <a:t>MÜŞAVİR</a:t>
              </a:r>
            </a:p>
          </xdr:txBody>
        </xdr:sp>
        <xdr:sp macro="" textlink="Dizayn!$F$14">
          <xdr:nvSpPr>
            <xdr:cNvPr id="22" name="TextBox 9"/>
            <xdr:cNvSpPr txBox="1"/>
          </xdr:nvSpPr>
          <xdr:spPr>
            <a:xfrm>
              <a:off x="419604" y="13612319"/>
              <a:ext cx="1079563" cy="106734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974B5D6D-6D97-4DBC-B41F-77A85594DCF2}" type="TxLink">
                <a:rPr lang="en-US" sz="9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Lab. Teknisyeni
Lab. Teknisyeni
...../...../.........</a:t>
              </a:fld>
              <a:endParaRPr lang="tr-TR" sz="9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Dizayn!$F$16">
          <xdr:nvSpPr>
            <xdr:cNvPr id="23" name="TextBox 10"/>
            <xdr:cNvSpPr txBox="1"/>
          </xdr:nvSpPr>
          <xdr:spPr>
            <a:xfrm>
              <a:off x="1499168" y="13612320"/>
              <a:ext cx="1089555" cy="10673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32106A95-3B41-458C-915F-EB96D628FE84}" type="TxLink">
                <a:rPr lang="en-US" sz="9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Şantiye Şefi
Şantiye Şefi
...../...../.........</a:t>
              </a:fld>
              <a:endParaRPr lang="tr-TR" sz="9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Dizayn!$F$18">
          <xdr:nvSpPr>
            <xdr:cNvPr id="24" name="TextBox 11"/>
            <xdr:cNvSpPr txBox="1"/>
          </xdr:nvSpPr>
          <xdr:spPr>
            <a:xfrm>
              <a:off x="2588723" y="13612320"/>
              <a:ext cx="1069091" cy="10673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65DA8B73-B566-4860-9E04-CB2A85D81846}" type="TxLink">
                <a:rPr lang="en-US" sz="9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Lab. Teknisyeni
Lab. Teknisyeni
...../...../.........</a:t>
              </a:fld>
              <a:endParaRPr lang="tr-TR" sz="9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Dizayn!$F$22">
          <xdr:nvSpPr>
            <xdr:cNvPr id="25" name="TextBox 12"/>
            <xdr:cNvSpPr txBox="1"/>
          </xdr:nvSpPr>
          <xdr:spPr>
            <a:xfrm>
              <a:off x="4760878" y="13612320"/>
              <a:ext cx="1082359" cy="10673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6C673218-7AAF-45F5-A6E5-FD1C0B4141F9}" type="TxLink">
                <a:rPr lang="en-US" sz="9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
...../...../.........</a:t>
              </a:fld>
              <a:endParaRPr lang="tr-TR" sz="9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Dizayn!$F$24">
          <xdr:nvSpPr>
            <xdr:cNvPr id="26" name="TextBox 13"/>
            <xdr:cNvSpPr txBox="1"/>
          </xdr:nvSpPr>
          <xdr:spPr>
            <a:xfrm>
              <a:off x="5843238" y="13612320"/>
              <a:ext cx="1084441" cy="10673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059AA4D6-9B51-4CEF-86F2-29277D0A6879}" type="TxLink">
                <a:rPr lang="en-US" sz="9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
...../...../.........</a:t>
              </a:fld>
              <a:endParaRPr lang="tr-TR" sz="9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</xdr:grpSp>
    <xdr:clientData/>
  </xdr:twoCellAnchor>
  <xdr:twoCellAnchor>
    <xdr:from>
      <xdr:col>34</xdr:col>
      <xdr:colOff>28574</xdr:colOff>
      <xdr:row>24</xdr:row>
      <xdr:rowOff>171449</xdr:rowOff>
    </xdr:from>
    <xdr:to>
      <xdr:col>66</xdr:col>
      <xdr:colOff>131849</xdr:colOff>
      <xdr:row>48</xdr:row>
      <xdr:rowOff>0</xdr:rowOff>
    </xdr:to>
    <xdr:graphicFrame macro="">
      <xdr:nvGraphicFramePr>
        <xdr:cNvPr id="38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0</xdr:colOff>
      <xdr:row>0</xdr:row>
      <xdr:rowOff>57150</xdr:rowOff>
    </xdr:from>
    <xdr:to>
      <xdr:col>31</xdr:col>
      <xdr:colOff>1057</xdr:colOff>
      <xdr:row>5</xdr:row>
      <xdr:rowOff>123825</xdr:rowOff>
    </xdr:to>
    <xdr:pic>
      <xdr:nvPicPr>
        <xdr:cNvPr id="40" name="Resim 3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57150"/>
          <a:ext cx="1085849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59</xdr:col>
      <xdr:colOff>0</xdr:colOff>
      <xdr:row>0</xdr:row>
      <xdr:rowOff>57150</xdr:rowOff>
    </xdr:from>
    <xdr:ext cx="1085849" cy="923925"/>
    <xdr:pic>
      <xdr:nvPicPr>
        <xdr:cNvPr id="43" name="Resim 4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57150"/>
          <a:ext cx="1085849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oneCellAnchor>
  <xdr:oneCellAnchor>
    <xdr:from>
      <xdr:col>10</xdr:col>
      <xdr:colOff>0</xdr:colOff>
      <xdr:row>0</xdr:row>
      <xdr:rowOff>57150</xdr:rowOff>
    </xdr:from>
    <xdr:ext cx="2343150" cy="914400"/>
    <xdr:pic>
      <xdr:nvPicPr>
        <xdr:cNvPr id="45" name="Resim 4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57150"/>
          <a:ext cx="23431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44</xdr:col>
      <xdr:colOff>0</xdr:colOff>
      <xdr:row>0</xdr:row>
      <xdr:rowOff>66675</xdr:rowOff>
    </xdr:from>
    <xdr:ext cx="2343150" cy="914400"/>
    <xdr:pic>
      <xdr:nvPicPr>
        <xdr:cNvPr id="47" name="Resim 4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66675"/>
          <a:ext cx="23431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0.13678</cdr:x>
      <cdr:y>0.07557</cdr:y>
    </cdr:from>
    <cdr:to>
      <cdr:x>0.13678</cdr:x>
      <cdr:y>0.84827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833809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0.24797</cdr:x>
      <cdr:y>0.07557</cdr:y>
    </cdr:from>
    <cdr:to>
      <cdr:x>0.24797</cdr:x>
      <cdr:y>0.84827</cdr:y>
    </cdr:to>
    <cdr:cxnSp macro="">
      <cdr:nvCxnSpPr>
        <cdr:cNvPr id="7" name="Straight Connector 6"/>
        <cdr:cNvCxnSpPr/>
      </cdr:nvCxnSpPr>
      <cdr:spPr>
        <a:xfrm xmlns:a="http://schemas.openxmlformats.org/drawingml/2006/main" flipV="1">
          <a:off x="1511621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0.3534</cdr:x>
      <cdr:y>0.07557</cdr:y>
    </cdr:from>
    <cdr:to>
      <cdr:x>0.3534</cdr:x>
      <cdr:y>0.84827</cdr:y>
    </cdr:to>
    <cdr:cxnSp macro="">
      <cdr:nvCxnSpPr>
        <cdr:cNvPr id="8" name="Straight Connector 7"/>
        <cdr:cNvCxnSpPr/>
      </cdr:nvCxnSpPr>
      <cdr:spPr>
        <a:xfrm xmlns:a="http://schemas.openxmlformats.org/drawingml/2006/main" flipV="1">
          <a:off x="2154302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0.55235</cdr:x>
      <cdr:y>0.07557</cdr:y>
    </cdr:from>
    <cdr:to>
      <cdr:x>0.55235</cdr:x>
      <cdr:y>0.84827</cdr:y>
    </cdr:to>
    <cdr:cxnSp macro="">
      <cdr:nvCxnSpPr>
        <cdr:cNvPr id="9" name="Straight Connector 8"/>
        <cdr:cNvCxnSpPr/>
      </cdr:nvCxnSpPr>
      <cdr:spPr>
        <a:xfrm xmlns:a="http://schemas.openxmlformats.org/drawingml/2006/main" flipV="1">
          <a:off x="3317609" y="289615"/>
          <a:ext cx="0" cy="296130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0.65956</cdr:x>
      <cdr:y>0.07557</cdr:y>
    </cdr:from>
    <cdr:to>
      <cdr:x>0.65956</cdr:x>
      <cdr:y>0.84827</cdr:y>
    </cdr:to>
    <cdr:cxnSp macro="">
      <cdr:nvCxnSpPr>
        <cdr:cNvPr id="10" name="Straight Connector 9"/>
        <cdr:cNvCxnSpPr/>
      </cdr:nvCxnSpPr>
      <cdr:spPr>
        <a:xfrm xmlns:a="http://schemas.openxmlformats.org/drawingml/2006/main" flipV="1">
          <a:off x="4020658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0.74789</cdr:x>
      <cdr:y>0.07557</cdr:y>
    </cdr:from>
    <cdr:to>
      <cdr:x>0.74789</cdr:x>
      <cdr:y>0.84827</cdr:y>
    </cdr:to>
    <cdr:cxnSp macro="">
      <cdr:nvCxnSpPr>
        <cdr:cNvPr id="11" name="Straight Connector 10"/>
        <cdr:cNvCxnSpPr/>
      </cdr:nvCxnSpPr>
      <cdr:spPr>
        <a:xfrm xmlns:a="http://schemas.openxmlformats.org/drawingml/2006/main" flipV="1">
          <a:off x="4559158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0.78351</cdr:x>
      <cdr:y>0.07557</cdr:y>
    </cdr:from>
    <cdr:to>
      <cdr:x>0.78351</cdr:x>
      <cdr:y>0.84827</cdr:y>
    </cdr:to>
    <cdr:cxnSp macro="">
      <cdr:nvCxnSpPr>
        <cdr:cNvPr id="13" name="Straight Connector 12"/>
        <cdr:cNvCxnSpPr/>
      </cdr:nvCxnSpPr>
      <cdr:spPr>
        <a:xfrm xmlns:a="http://schemas.openxmlformats.org/drawingml/2006/main" flipV="1">
          <a:off x="4776294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0.83393</cdr:x>
      <cdr:y>0.07557</cdr:y>
    </cdr:from>
    <cdr:to>
      <cdr:x>0.83393</cdr:x>
      <cdr:y>0.84827</cdr:y>
    </cdr:to>
    <cdr:cxnSp macro="">
      <cdr:nvCxnSpPr>
        <cdr:cNvPr id="14" name="Straight Connector 13"/>
        <cdr:cNvCxnSpPr/>
      </cdr:nvCxnSpPr>
      <cdr:spPr>
        <a:xfrm xmlns:a="http://schemas.openxmlformats.org/drawingml/2006/main" flipV="1">
          <a:off x="5083667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0.87042</cdr:x>
      <cdr:y>0.07557</cdr:y>
    </cdr:from>
    <cdr:to>
      <cdr:x>0.87042</cdr:x>
      <cdr:y>0.84827</cdr:y>
    </cdr:to>
    <cdr:cxnSp macro="">
      <cdr:nvCxnSpPr>
        <cdr:cNvPr id="15" name="Straight Connector 14"/>
        <cdr:cNvCxnSpPr/>
      </cdr:nvCxnSpPr>
      <cdr:spPr>
        <a:xfrm xmlns:a="http://schemas.openxmlformats.org/drawingml/2006/main" flipV="1">
          <a:off x="5306109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0.91842</cdr:x>
      <cdr:y>0.07557</cdr:y>
    </cdr:from>
    <cdr:to>
      <cdr:x>0.91842</cdr:x>
      <cdr:y>0.84827</cdr:y>
    </cdr:to>
    <cdr:cxnSp macro="">
      <cdr:nvCxnSpPr>
        <cdr:cNvPr id="16" name="Straight Connector 15"/>
        <cdr:cNvCxnSpPr/>
      </cdr:nvCxnSpPr>
      <cdr:spPr>
        <a:xfrm xmlns:a="http://schemas.openxmlformats.org/drawingml/2006/main" flipV="1">
          <a:off x="5598666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0.26902</cdr:x>
      <cdr:y>0.02667</cdr:y>
    </cdr:from>
    <cdr:to>
      <cdr:x>0.41902</cdr:x>
      <cdr:y>0.272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1639957" y="9939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r-TR" sz="1100"/>
        </a:p>
      </cdr:txBody>
    </cdr:sp>
  </cdr:relSizeAnchor>
  <cdr:relSizeAnchor xmlns:cdr="http://schemas.openxmlformats.org/drawingml/2006/chartDrawing">
    <cdr:from>
      <cdr:x>0.09103</cdr:x>
      <cdr:y>0.03363</cdr:y>
    </cdr:from>
    <cdr:to>
      <cdr:x>0.9769</cdr:x>
      <cdr:y>0.09141</cdr:y>
    </cdr:to>
    <cdr:grpSp>
      <cdr:nvGrpSpPr>
        <cdr:cNvPr id="31" name="Group 30"/>
        <cdr:cNvGrpSpPr/>
      </cdr:nvGrpSpPr>
      <cdr:grpSpPr>
        <a:xfrm xmlns:a="http://schemas.openxmlformats.org/drawingml/2006/main">
          <a:off x="533491" y="130906"/>
          <a:ext cx="5191737" cy="224912"/>
          <a:chOff x="546653" y="108779"/>
          <a:chExt cx="5400260" cy="215348"/>
        </a:xfrm>
      </cdr:grpSpPr>
      <cdr:sp macro="" textlink="">
        <cdr:nvSpPr>
          <cdr:cNvPr id="21" name="TextBox 20"/>
          <cdr:cNvSpPr txBox="1"/>
        </cdr:nvSpPr>
        <cdr:spPr>
          <a:xfrm xmlns:a="http://schemas.openxmlformats.org/drawingml/2006/main">
            <a:off x="546653" y="108779"/>
            <a:ext cx="57978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No.200</a:t>
            </a:r>
          </a:p>
        </cdr:txBody>
      </cdr:sp>
      <cdr:sp macro="" textlink="">
        <cdr:nvSpPr>
          <cdr:cNvPr id="22" name="TextBox 1"/>
          <cdr:cNvSpPr txBox="1"/>
        </cdr:nvSpPr>
        <cdr:spPr>
          <a:xfrm xmlns:a="http://schemas.openxmlformats.org/drawingml/2006/main">
            <a:off x="1235213" y="108779"/>
            <a:ext cx="57978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No.80</a:t>
            </a:r>
          </a:p>
        </cdr:txBody>
      </cdr:sp>
      <cdr:sp macro="" textlink="">
        <cdr:nvSpPr>
          <cdr:cNvPr id="23" name="TextBox 1"/>
          <cdr:cNvSpPr txBox="1"/>
        </cdr:nvSpPr>
        <cdr:spPr>
          <a:xfrm xmlns:a="http://schemas.openxmlformats.org/drawingml/2006/main">
            <a:off x="1848126" y="108779"/>
            <a:ext cx="57978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No.40</a:t>
            </a:r>
          </a:p>
        </cdr:txBody>
      </cdr:sp>
      <cdr:sp macro="" textlink="">
        <cdr:nvSpPr>
          <cdr:cNvPr id="24" name="TextBox 1"/>
          <cdr:cNvSpPr txBox="1"/>
        </cdr:nvSpPr>
        <cdr:spPr>
          <a:xfrm xmlns:a="http://schemas.openxmlformats.org/drawingml/2006/main">
            <a:off x="3107082" y="108779"/>
            <a:ext cx="495853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No.10</a:t>
            </a:r>
          </a:p>
        </cdr:txBody>
      </cdr:sp>
      <cdr:sp macro="" textlink="">
        <cdr:nvSpPr>
          <cdr:cNvPr id="25" name="TextBox 1"/>
          <cdr:cNvSpPr txBox="1"/>
        </cdr:nvSpPr>
        <cdr:spPr>
          <a:xfrm xmlns:a="http://schemas.openxmlformats.org/drawingml/2006/main">
            <a:off x="3786256" y="108779"/>
            <a:ext cx="42959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No.4</a:t>
            </a: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4349475" y="108779"/>
            <a:ext cx="413026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3/8"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4573104" y="108779"/>
            <a:ext cx="413026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1/2"</a:t>
            </a:r>
          </a:p>
        </cdr:txBody>
      </cdr:sp>
      <cdr:sp macro="" textlink="">
        <cdr:nvSpPr>
          <cdr:cNvPr id="28" name="TextBox 1"/>
          <cdr:cNvSpPr txBox="1"/>
        </cdr:nvSpPr>
        <cdr:spPr>
          <a:xfrm xmlns:a="http://schemas.openxmlformats.org/drawingml/2006/main">
            <a:off x="4912692" y="108779"/>
            <a:ext cx="413026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3/4"</a:t>
            </a:r>
          </a:p>
        </cdr:txBody>
      </cdr:sp>
      <cdr:sp macro="" textlink="">
        <cdr:nvSpPr>
          <cdr:cNvPr id="29" name="TextBox 1"/>
          <cdr:cNvSpPr txBox="1"/>
        </cdr:nvSpPr>
        <cdr:spPr>
          <a:xfrm xmlns:a="http://schemas.openxmlformats.org/drawingml/2006/main">
            <a:off x="5186017" y="108779"/>
            <a:ext cx="288787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1"</a:t>
            </a:r>
          </a:p>
        </cdr:txBody>
      </cdr:sp>
      <cdr:sp macro="" textlink="">
        <cdr:nvSpPr>
          <cdr:cNvPr id="30" name="TextBox 1"/>
          <cdr:cNvSpPr txBox="1"/>
        </cdr:nvSpPr>
        <cdr:spPr>
          <a:xfrm xmlns:a="http://schemas.openxmlformats.org/drawingml/2006/main">
            <a:off x="5451061" y="108779"/>
            <a:ext cx="49585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1 1/2"</a:t>
            </a:r>
          </a:p>
        </cdr:txBody>
      </cdr:sp>
    </cdr:grpSp>
  </cdr:relSizeAnchor>
  <cdr:relSizeAnchor xmlns:cdr="http://schemas.openxmlformats.org/drawingml/2006/chartDrawing">
    <cdr:from>
      <cdr:x>0.09801</cdr:x>
      <cdr:y>0.8403</cdr:y>
    </cdr:from>
    <cdr:to>
      <cdr:x>0.96447</cdr:x>
      <cdr:y>0.9003</cdr:y>
    </cdr:to>
    <cdr:grpSp>
      <cdr:nvGrpSpPr>
        <cdr:cNvPr id="32" name="Group 31"/>
        <cdr:cNvGrpSpPr/>
      </cdr:nvGrpSpPr>
      <cdr:grpSpPr>
        <a:xfrm xmlns:a="http://schemas.openxmlformats.org/drawingml/2006/main">
          <a:off x="574398" y="3270911"/>
          <a:ext cx="5077983" cy="233553"/>
          <a:chOff x="49696" y="0"/>
          <a:chExt cx="5281959" cy="223650"/>
        </a:xfrm>
      </cdr:grpSpPr>
      <cdr:sp macro="" textlink="">
        <cdr:nvSpPr>
          <cdr:cNvPr id="33" name="TextBox 2"/>
          <cdr:cNvSpPr txBox="1"/>
        </cdr:nvSpPr>
        <cdr:spPr>
          <a:xfrm xmlns:a="http://schemas.openxmlformats.org/drawingml/2006/main">
            <a:off x="49696" y="0"/>
            <a:ext cx="46272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0,075</a:t>
            </a:r>
          </a:p>
        </cdr:txBody>
      </cdr:sp>
      <cdr:sp macro="" textlink="">
        <cdr:nvSpPr>
          <cdr:cNvPr id="34" name="TextBox 1"/>
          <cdr:cNvSpPr txBox="1"/>
        </cdr:nvSpPr>
        <cdr:spPr>
          <a:xfrm xmlns:a="http://schemas.openxmlformats.org/drawingml/2006/main">
            <a:off x="738254" y="0"/>
            <a:ext cx="486467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0,180</a:t>
            </a:r>
          </a:p>
        </cdr:txBody>
      </cdr:sp>
      <cdr:sp macro="" textlink="">
        <cdr:nvSpPr>
          <cdr:cNvPr id="35" name="TextBox 1"/>
          <cdr:cNvSpPr txBox="1"/>
        </cdr:nvSpPr>
        <cdr:spPr>
          <a:xfrm xmlns:a="http://schemas.openxmlformats.org/drawingml/2006/main">
            <a:off x="1376015" y="0"/>
            <a:ext cx="494749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0,425</a:t>
            </a:r>
          </a:p>
        </cdr:txBody>
      </cdr:sp>
      <cdr:sp macro="" textlink="">
        <cdr:nvSpPr>
          <cdr:cNvPr id="36" name="TextBox 1"/>
          <cdr:cNvSpPr txBox="1"/>
        </cdr:nvSpPr>
        <cdr:spPr>
          <a:xfrm xmlns:a="http://schemas.openxmlformats.org/drawingml/2006/main">
            <a:off x="2634973" y="0"/>
            <a:ext cx="395358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2,00</a:t>
            </a:r>
          </a:p>
        </cdr:txBody>
      </cdr:sp>
      <cdr:sp macro="" textlink="">
        <cdr:nvSpPr>
          <cdr:cNvPr id="37" name="TextBox 1"/>
          <cdr:cNvSpPr txBox="1"/>
        </cdr:nvSpPr>
        <cdr:spPr>
          <a:xfrm xmlns:a="http://schemas.openxmlformats.org/drawingml/2006/main">
            <a:off x="3239603" y="0"/>
            <a:ext cx="42959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4,75</a:t>
            </a:r>
          </a:p>
        </cdr:txBody>
      </cdr:sp>
      <cdr:sp macro="" textlink="">
        <cdr:nvSpPr>
          <cdr:cNvPr id="38" name="TextBox 1"/>
          <cdr:cNvSpPr txBox="1"/>
        </cdr:nvSpPr>
        <cdr:spPr>
          <a:xfrm xmlns:a="http://schemas.openxmlformats.org/drawingml/2006/main">
            <a:off x="3754740" y="8302"/>
            <a:ext cx="415556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9,5</a:t>
            </a:r>
          </a:p>
        </cdr:txBody>
      </cdr:sp>
      <cdr:sp macro="" textlink="">
        <cdr:nvSpPr>
          <cdr:cNvPr id="39" name="TextBox 1"/>
          <cdr:cNvSpPr txBox="1"/>
        </cdr:nvSpPr>
        <cdr:spPr>
          <a:xfrm xmlns:a="http://schemas.openxmlformats.org/drawingml/2006/main">
            <a:off x="3990977" y="8302"/>
            <a:ext cx="395358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12,7</a:t>
            </a:r>
          </a:p>
        </cdr:txBody>
      </cdr:sp>
      <cdr:sp macro="" textlink="">
        <cdr:nvSpPr>
          <cdr:cNvPr id="40" name="TextBox 1"/>
          <cdr:cNvSpPr txBox="1"/>
        </cdr:nvSpPr>
        <cdr:spPr>
          <a:xfrm xmlns:a="http://schemas.openxmlformats.org/drawingml/2006/main">
            <a:off x="4297434" y="8302"/>
            <a:ext cx="413026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19,1</a:t>
            </a:r>
          </a:p>
        </cdr:txBody>
      </cdr:sp>
      <cdr:sp macro="" textlink="">
        <cdr:nvSpPr>
          <cdr:cNvPr id="41" name="TextBox 1"/>
          <cdr:cNvSpPr txBox="1"/>
        </cdr:nvSpPr>
        <cdr:spPr>
          <a:xfrm xmlns:a="http://schemas.openxmlformats.org/drawingml/2006/main">
            <a:off x="4570759" y="8302"/>
            <a:ext cx="41887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25,4</a:t>
            </a:r>
          </a:p>
        </cdr:txBody>
      </cdr:sp>
      <cdr:sp macro="" textlink="">
        <cdr:nvSpPr>
          <cdr:cNvPr id="42" name="TextBox 1"/>
          <cdr:cNvSpPr txBox="1"/>
        </cdr:nvSpPr>
        <cdr:spPr>
          <a:xfrm xmlns:a="http://schemas.openxmlformats.org/drawingml/2006/main">
            <a:off x="4835803" y="8302"/>
            <a:ext cx="49585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37,5</a:t>
            </a:r>
          </a:p>
        </cdr:txBody>
      </cdr:sp>
    </cdr:grp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0.13678</cdr:x>
      <cdr:y>0.07557</cdr:y>
    </cdr:from>
    <cdr:to>
      <cdr:x>0.13678</cdr:x>
      <cdr:y>0.84827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833809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0.24797</cdr:x>
      <cdr:y>0.07557</cdr:y>
    </cdr:from>
    <cdr:to>
      <cdr:x>0.24797</cdr:x>
      <cdr:y>0.84827</cdr:y>
    </cdr:to>
    <cdr:cxnSp macro="">
      <cdr:nvCxnSpPr>
        <cdr:cNvPr id="7" name="Straight Connector 6"/>
        <cdr:cNvCxnSpPr/>
      </cdr:nvCxnSpPr>
      <cdr:spPr>
        <a:xfrm xmlns:a="http://schemas.openxmlformats.org/drawingml/2006/main" flipV="1">
          <a:off x="1511621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0.3534</cdr:x>
      <cdr:y>0.07557</cdr:y>
    </cdr:from>
    <cdr:to>
      <cdr:x>0.3534</cdr:x>
      <cdr:y>0.84827</cdr:y>
    </cdr:to>
    <cdr:cxnSp macro="">
      <cdr:nvCxnSpPr>
        <cdr:cNvPr id="8" name="Straight Connector 7"/>
        <cdr:cNvCxnSpPr/>
      </cdr:nvCxnSpPr>
      <cdr:spPr>
        <a:xfrm xmlns:a="http://schemas.openxmlformats.org/drawingml/2006/main" flipV="1">
          <a:off x="2154302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0.55235</cdr:x>
      <cdr:y>0.07557</cdr:y>
    </cdr:from>
    <cdr:to>
      <cdr:x>0.55235</cdr:x>
      <cdr:y>0.84827</cdr:y>
    </cdr:to>
    <cdr:cxnSp macro="">
      <cdr:nvCxnSpPr>
        <cdr:cNvPr id="9" name="Straight Connector 8"/>
        <cdr:cNvCxnSpPr/>
      </cdr:nvCxnSpPr>
      <cdr:spPr>
        <a:xfrm xmlns:a="http://schemas.openxmlformats.org/drawingml/2006/main" flipV="1">
          <a:off x="3317609" y="289615"/>
          <a:ext cx="0" cy="296130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0.65956</cdr:x>
      <cdr:y>0.07557</cdr:y>
    </cdr:from>
    <cdr:to>
      <cdr:x>0.65956</cdr:x>
      <cdr:y>0.84827</cdr:y>
    </cdr:to>
    <cdr:cxnSp macro="">
      <cdr:nvCxnSpPr>
        <cdr:cNvPr id="10" name="Straight Connector 9"/>
        <cdr:cNvCxnSpPr/>
      </cdr:nvCxnSpPr>
      <cdr:spPr>
        <a:xfrm xmlns:a="http://schemas.openxmlformats.org/drawingml/2006/main" flipV="1">
          <a:off x="4020658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0.74789</cdr:x>
      <cdr:y>0.07557</cdr:y>
    </cdr:from>
    <cdr:to>
      <cdr:x>0.74789</cdr:x>
      <cdr:y>0.84827</cdr:y>
    </cdr:to>
    <cdr:cxnSp macro="">
      <cdr:nvCxnSpPr>
        <cdr:cNvPr id="11" name="Straight Connector 10"/>
        <cdr:cNvCxnSpPr/>
      </cdr:nvCxnSpPr>
      <cdr:spPr>
        <a:xfrm xmlns:a="http://schemas.openxmlformats.org/drawingml/2006/main" flipV="1">
          <a:off x="4559158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0.78351</cdr:x>
      <cdr:y>0.07557</cdr:y>
    </cdr:from>
    <cdr:to>
      <cdr:x>0.78351</cdr:x>
      <cdr:y>0.84827</cdr:y>
    </cdr:to>
    <cdr:cxnSp macro="">
      <cdr:nvCxnSpPr>
        <cdr:cNvPr id="13" name="Straight Connector 12"/>
        <cdr:cNvCxnSpPr/>
      </cdr:nvCxnSpPr>
      <cdr:spPr>
        <a:xfrm xmlns:a="http://schemas.openxmlformats.org/drawingml/2006/main" flipV="1">
          <a:off x="4776294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0.83393</cdr:x>
      <cdr:y>0.07557</cdr:y>
    </cdr:from>
    <cdr:to>
      <cdr:x>0.83393</cdr:x>
      <cdr:y>0.84827</cdr:y>
    </cdr:to>
    <cdr:cxnSp macro="">
      <cdr:nvCxnSpPr>
        <cdr:cNvPr id="14" name="Straight Connector 13"/>
        <cdr:cNvCxnSpPr/>
      </cdr:nvCxnSpPr>
      <cdr:spPr>
        <a:xfrm xmlns:a="http://schemas.openxmlformats.org/drawingml/2006/main" flipV="1">
          <a:off x="5083667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0.87042</cdr:x>
      <cdr:y>0.07557</cdr:y>
    </cdr:from>
    <cdr:to>
      <cdr:x>0.87042</cdr:x>
      <cdr:y>0.84827</cdr:y>
    </cdr:to>
    <cdr:cxnSp macro="">
      <cdr:nvCxnSpPr>
        <cdr:cNvPr id="15" name="Straight Connector 14"/>
        <cdr:cNvCxnSpPr/>
      </cdr:nvCxnSpPr>
      <cdr:spPr>
        <a:xfrm xmlns:a="http://schemas.openxmlformats.org/drawingml/2006/main" flipV="1">
          <a:off x="5306109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0.91842</cdr:x>
      <cdr:y>0.07557</cdr:y>
    </cdr:from>
    <cdr:to>
      <cdr:x>0.91842</cdr:x>
      <cdr:y>0.84827</cdr:y>
    </cdr:to>
    <cdr:cxnSp macro="">
      <cdr:nvCxnSpPr>
        <cdr:cNvPr id="16" name="Straight Connector 15"/>
        <cdr:cNvCxnSpPr/>
      </cdr:nvCxnSpPr>
      <cdr:spPr>
        <a:xfrm xmlns:a="http://schemas.openxmlformats.org/drawingml/2006/main" flipV="1">
          <a:off x="5598666" y="281662"/>
          <a:ext cx="0" cy="288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0.26902</cdr:x>
      <cdr:y>0.02667</cdr:y>
    </cdr:from>
    <cdr:to>
      <cdr:x>0.41902</cdr:x>
      <cdr:y>0.272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1639957" y="9939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r-TR" sz="1100"/>
        </a:p>
      </cdr:txBody>
    </cdr:sp>
  </cdr:relSizeAnchor>
  <cdr:relSizeAnchor xmlns:cdr="http://schemas.openxmlformats.org/drawingml/2006/chartDrawing">
    <cdr:from>
      <cdr:x>0.09103</cdr:x>
      <cdr:y>0.03363</cdr:y>
    </cdr:from>
    <cdr:to>
      <cdr:x>0.9769</cdr:x>
      <cdr:y>0.09141</cdr:y>
    </cdr:to>
    <cdr:grpSp>
      <cdr:nvGrpSpPr>
        <cdr:cNvPr id="31" name="Group 30"/>
        <cdr:cNvGrpSpPr/>
      </cdr:nvGrpSpPr>
      <cdr:grpSpPr>
        <a:xfrm xmlns:a="http://schemas.openxmlformats.org/drawingml/2006/main">
          <a:off x="533491" y="130906"/>
          <a:ext cx="5191737" cy="224912"/>
          <a:chOff x="546653" y="108779"/>
          <a:chExt cx="5400260" cy="215348"/>
        </a:xfrm>
      </cdr:grpSpPr>
      <cdr:sp macro="" textlink="">
        <cdr:nvSpPr>
          <cdr:cNvPr id="21" name="TextBox 20"/>
          <cdr:cNvSpPr txBox="1"/>
        </cdr:nvSpPr>
        <cdr:spPr>
          <a:xfrm xmlns:a="http://schemas.openxmlformats.org/drawingml/2006/main">
            <a:off x="546653" y="108779"/>
            <a:ext cx="57978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No.200</a:t>
            </a:r>
          </a:p>
        </cdr:txBody>
      </cdr:sp>
      <cdr:sp macro="" textlink="">
        <cdr:nvSpPr>
          <cdr:cNvPr id="22" name="TextBox 1"/>
          <cdr:cNvSpPr txBox="1"/>
        </cdr:nvSpPr>
        <cdr:spPr>
          <a:xfrm xmlns:a="http://schemas.openxmlformats.org/drawingml/2006/main">
            <a:off x="1235213" y="108779"/>
            <a:ext cx="57978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No.80</a:t>
            </a:r>
          </a:p>
        </cdr:txBody>
      </cdr:sp>
      <cdr:sp macro="" textlink="">
        <cdr:nvSpPr>
          <cdr:cNvPr id="23" name="TextBox 1"/>
          <cdr:cNvSpPr txBox="1"/>
        </cdr:nvSpPr>
        <cdr:spPr>
          <a:xfrm xmlns:a="http://schemas.openxmlformats.org/drawingml/2006/main">
            <a:off x="1848126" y="108779"/>
            <a:ext cx="57978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No.40</a:t>
            </a:r>
          </a:p>
        </cdr:txBody>
      </cdr:sp>
      <cdr:sp macro="" textlink="">
        <cdr:nvSpPr>
          <cdr:cNvPr id="24" name="TextBox 1"/>
          <cdr:cNvSpPr txBox="1"/>
        </cdr:nvSpPr>
        <cdr:spPr>
          <a:xfrm xmlns:a="http://schemas.openxmlformats.org/drawingml/2006/main">
            <a:off x="3107082" y="108779"/>
            <a:ext cx="495853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No.10</a:t>
            </a:r>
          </a:p>
        </cdr:txBody>
      </cdr:sp>
      <cdr:sp macro="" textlink="">
        <cdr:nvSpPr>
          <cdr:cNvPr id="25" name="TextBox 1"/>
          <cdr:cNvSpPr txBox="1"/>
        </cdr:nvSpPr>
        <cdr:spPr>
          <a:xfrm xmlns:a="http://schemas.openxmlformats.org/drawingml/2006/main">
            <a:off x="3786256" y="108779"/>
            <a:ext cx="42959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No.4</a:t>
            </a: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4349475" y="108779"/>
            <a:ext cx="413026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3/8"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4573104" y="108779"/>
            <a:ext cx="413026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1/2"</a:t>
            </a:r>
          </a:p>
        </cdr:txBody>
      </cdr:sp>
      <cdr:sp macro="" textlink="">
        <cdr:nvSpPr>
          <cdr:cNvPr id="28" name="TextBox 1"/>
          <cdr:cNvSpPr txBox="1"/>
        </cdr:nvSpPr>
        <cdr:spPr>
          <a:xfrm xmlns:a="http://schemas.openxmlformats.org/drawingml/2006/main">
            <a:off x="4912692" y="108779"/>
            <a:ext cx="413026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3/4"</a:t>
            </a:r>
          </a:p>
        </cdr:txBody>
      </cdr:sp>
      <cdr:sp macro="" textlink="">
        <cdr:nvSpPr>
          <cdr:cNvPr id="29" name="TextBox 1"/>
          <cdr:cNvSpPr txBox="1"/>
        </cdr:nvSpPr>
        <cdr:spPr>
          <a:xfrm xmlns:a="http://schemas.openxmlformats.org/drawingml/2006/main">
            <a:off x="5186017" y="108779"/>
            <a:ext cx="288787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1"</a:t>
            </a:r>
          </a:p>
        </cdr:txBody>
      </cdr:sp>
      <cdr:sp macro="" textlink="">
        <cdr:nvSpPr>
          <cdr:cNvPr id="30" name="TextBox 1"/>
          <cdr:cNvSpPr txBox="1"/>
        </cdr:nvSpPr>
        <cdr:spPr>
          <a:xfrm xmlns:a="http://schemas.openxmlformats.org/drawingml/2006/main">
            <a:off x="5451061" y="108779"/>
            <a:ext cx="49585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1 1/2"</a:t>
            </a:r>
          </a:p>
        </cdr:txBody>
      </cdr:sp>
    </cdr:grpSp>
  </cdr:relSizeAnchor>
  <cdr:relSizeAnchor xmlns:cdr="http://schemas.openxmlformats.org/drawingml/2006/chartDrawing">
    <cdr:from>
      <cdr:x>0.09801</cdr:x>
      <cdr:y>0.8403</cdr:y>
    </cdr:from>
    <cdr:to>
      <cdr:x>0.96447</cdr:x>
      <cdr:y>0.9003</cdr:y>
    </cdr:to>
    <cdr:grpSp>
      <cdr:nvGrpSpPr>
        <cdr:cNvPr id="32" name="Group 31"/>
        <cdr:cNvGrpSpPr/>
      </cdr:nvGrpSpPr>
      <cdr:grpSpPr>
        <a:xfrm xmlns:a="http://schemas.openxmlformats.org/drawingml/2006/main">
          <a:off x="574398" y="3270911"/>
          <a:ext cx="5077983" cy="233553"/>
          <a:chOff x="49696" y="0"/>
          <a:chExt cx="5281959" cy="223650"/>
        </a:xfrm>
      </cdr:grpSpPr>
      <cdr:sp macro="" textlink="">
        <cdr:nvSpPr>
          <cdr:cNvPr id="33" name="TextBox 2"/>
          <cdr:cNvSpPr txBox="1"/>
        </cdr:nvSpPr>
        <cdr:spPr>
          <a:xfrm xmlns:a="http://schemas.openxmlformats.org/drawingml/2006/main">
            <a:off x="49696" y="0"/>
            <a:ext cx="46272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0,075</a:t>
            </a:r>
          </a:p>
        </cdr:txBody>
      </cdr:sp>
      <cdr:sp macro="" textlink="">
        <cdr:nvSpPr>
          <cdr:cNvPr id="34" name="TextBox 1"/>
          <cdr:cNvSpPr txBox="1"/>
        </cdr:nvSpPr>
        <cdr:spPr>
          <a:xfrm xmlns:a="http://schemas.openxmlformats.org/drawingml/2006/main">
            <a:off x="738254" y="0"/>
            <a:ext cx="486467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0,180</a:t>
            </a:r>
          </a:p>
        </cdr:txBody>
      </cdr:sp>
      <cdr:sp macro="" textlink="">
        <cdr:nvSpPr>
          <cdr:cNvPr id="35" name="TextBox 1"/>
          <cdr:cNvSpPr txBox="1"/>
        </cdr:nvSpPr>
        <cdr:spPr>
          <a:xfrm xmlns:a="http://schemas.openxmlformats.org/drawingml/2006/main">
            <a:off x="1376015" y="0"/>
            <a:ext cx="494749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0,425</a:t>
            </a:r>
          </a:p>
        </cdr:txBody>
      </cdr:sp>
      <cdr:sp macro="" textlink="">
        <cdr:nvSpPr>
          <cdr:cNvPr id="36" name="TextBox 1"/>
          <cdr:cNvSpPr txBox="1"/>
        </cdr:nvSpPr>
        <cdr:spPr>
          <a:xfrm xmlns:a="http://schemas.openxmlformats.org/drawingml/2006/main">
            <a:off x="2634973" y="0"/>
            <a:ext cx="395358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2,00</a:t>
            </a:r>
          </a:p>
        </cdr:txBody>
      </cdr:sp>
      <cdr:sp macro="" textlink="">
        <cdr:nvSpPr>
          <cdr:cNvPr id="37" name="TextBox 1"/>
          <cdr:cNvSpPr txBox="1"/>
        </cdr:nvSpPr>
        <cdr:spPr>
          <a:xfrm xmlns:a="http://schemas.openxmlformats.org/drawingml/2006/main">
            <a:off x="3239603" y="0"/>
            <a:ext cx="42959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4,75</a:t>
            </a:r>
          </a:p>
        </cdr:txBody>
      </cdr:sp>
      <cdr:sp macro="" textlink="">
        <cdr:nvSpPr>
          <cdr:cNvPr id="38" name="TextBox 1"/>
          <cdr:cNvSpPr txBox="1"/>
        </cdr:nvSpPr>
        <cdr:spPr>
          <a:xfrm xmlns:a="http://schemas.openxmlformats.org/drawingml/2006/main">
            <a:off x="3754740" y="8302"/>
            <a:ext cx="415556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9,5</a:t>
            </a:r>
          </a:p>
        </cdr:txBody>
      </cdr:sp>
      <cdr:sp macro="" textlink="">
        <cdr:nvSpPr>
          <cdr:cNvPr id="39" name="TextBox 1"/>
          <cdr:cNvSpPr txBox="1"/>
        </cdr:nvSpPr>
        <cdr:spPr>
          <a:xfrm xmlns:a="http://schemas.openxmlformats.org/drawingml/2006/main">
            <a:off x="3990977" y="8302"/>
            <a:ext cx="395358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12,7</a:t>
            </a:r>
          </a:p>
        </cdr:txBody>
      </cdr:sp>
      <cdr:sp macro="" textlink="">
        <cdr:nvSpPr>
          <cdr:cNvPr id="40" name="TextBox 1"/>
          <cdr:cNvSpPr txBox="1"/>
        </cdr:nvSpPr>
        <cdr:spPr>
          <a:xfrm xmlns:a="http://schemas.openxmlformats.org/drawingml/2006/main">
            <a:off x="4297434" y="8302"/>
            <a:ext cx="413026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19,1</a:t>
            </a:r>
          </a:p>
        </cdr:txBody>
      </cdr:sp>
      <cdr:sp macro="" textlink="">
        <cdr:nvSpPr>
          <cdr:cNvPr id="41" name="TextBox 1"/>
          <cdr:cNvSpPr txBox="1"/>
        </cdr:nvSpPr>
        <cdr:spPr>
          <a:xfrm xmlns:a="http://schemas.openxmlformats.org/drawingml/2006/main">
            <a:off x="4570759" y="8302"/>
            <a:ext cx="41887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25,4</a:t>
            </a:r>
          </a:p>
        </cdr:txBody>
      </cdr:sp>
      <cdr:sp macro="" textlink="">
        <cdr:nvSpPr>
          <cdr:cNvPr id="42" name="TextBox 1"/>
          <cdr:cNvSpPr txBox="1"/>
        </cdr:nvSpPr>
        <cdr:spPr>
          <a:xfrm xmlns:a="http://schemas.openxmlformats.org/drawingml/2006/main">
            <a:off x="4835803" y="8302"/>
            <a:ext cx="495852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tr-TR" sz="800">
                <a:latin typeface="Arial" panose="020B0604020202020204" pitchFamily="34" charset="0"/>
                <a:cs typeface="Arial" panose="020B0604020202020204" pitchFamily="34" charset="0"/>
              </a:rPr>
              <a:t>37,5</a:t>
            </a:r>
          </a:p>
        </cdr:txBody>
      </cdr:sp>
    </cdr:grp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49</xdr:row>
      <xdr:rowOff>0</xdr:rowOff>
    </xdr:from>
    <xdr:to>
      <xdr:col>33</xdr:col>
      <xdr:colOff>0</xdr:colOff>
      <xdr:row>58</xdr:row>
      <xdr:rowOff>0</xdr:rowOff>
    </xdr:to>
    <xdr:grpSp>
      <xdr:nvGrpSpPr>
        <xdr:cNvPr id="27" name="Group 7"/>
        <xdr:cNvGrpSpPr>
          <a:grpSpLocks/>
        </xdr:cNvGrpSpPr>
      </xdr:nvGrpSpPr>
      <xdr:grpSpPr bwMode="auto">
        <a:xfrm>
          <a:off x="9525" y="8401050"/>
          <a:ext cx="5962650" cy="1543050"/>
          <a:chOff x="419604" y="13428503"/>
          <a:chExt cx="6508075" cy="1251160"/>
        </a:xfrm>
      </xdr:grpSpPr>
      <xdr:sp macro="" textlink="Dizayn!$F$20">
        <xdr:nvSpPr>
          <xdr:cNvPr id="28" name="TextBox 4"/>
          <xdr:cNvSpPr txBox="1"/>
        </xdr:nvSpPr>
        <xdr:spPr>
          <a:xfrm>
            <a:off x="3657815" y="13612320"/>
            <a:ext cx="1105622" cy="1067343"/>
          </a:xfrm>
          <a:prstGeom prst="rect">
            <a:avLst/>
          </a:prstGeom>
          <a:solidFill>
            <a:schemeClr val="lt1"/>
          </a:solidFill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ctr"/>
            <a:fld id="{B88F777E-C1E4-4824-A365-68846AA594A0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
...../...../.........</a:t>
            </a:fld>
            <a:endParaRPr lang="tr-TR" sz="9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grpSp>
        <xdr:nvGrpSpPr>
          <xdr:cNvPr id="29" name="Group 9"/>
          <xdr:cNvGrpSpPr>
            <a:grpSpLocks/>
          </xdr:cNvGrpSpPr>
        </xdr:nvGrpSpPr>
        <xdr:grpSpPr bwMode="auto">
          <a:xfrm>
            <a:off x="419604" y="13428503"/>
            <a:ext cx="6508075" cy="1251160"/>
            <a:chOff x="419604" y="13428503"/>
            <a:chExt cx="6508075" cy="1251160"/>
          </a:xfrm>
        </xdr:grpSpPr>
        <xdr:sp macro="" textlink="">
          <xdr:nvSpPr>
            <xdr:cNvPr id="30" name="TextBox 6"/>
            <xdr:cNvSpPr txBox="1"/>
          </xdr:nvSpPr>
          <xdr:spPr>
            <a:xfrm>
              <a:off x="419604" y="13428505"/>
              <a:ext cx="2169119" cy="183813"/>
            </a:xfrm>
            <a:prstGeom prst="rect">
              <a:avLst/>
            </a:prstGeom>
            <a:noFill/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tIns="0" bIns="0" rtlCol="0" anchor="ctr"/>
            <a:lstStyle/>
            <a:p>
              <a:pPr algn="ctr"/>
              <a:r>
                <a:rPr lang="tr-TR" sz="1100" b="1">
                  <a:latin typeface="Arial" panose="020B0604020202020204" pitchFamily="34" charset="0"/>
                  <a:cs typeface="Arial" panose="020B0604020202020204" pitchFamily="34" charset="0"/>
                </a:rPr>
                <a:t>YÜKLENİCİ</a:t>
              </a:r>
            </a:p>
          </xdr:txBody>
        </xdr:sp>
        <xdr:sp macro="" textlink="">
          <xdr:nvSpPr>
            <xdr:cNvPr id="31" name="TextBox 7"/>
            <xdr:cNvSpPr txBox="1"/>
          </xdr:nvSpPr>
          <xdr:spPr>
            <a:xfrm>
              <a:off x="4760878" y="13428503"/>
              <a:ext cx="2166801" cy="183813"/>
            </a:xfrm>
            <a:prstGeom prst="rect">
              <a:avLst/>
            </a:prstGeom>
            <a:noFill/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tr-TR" sz="1100" b="1">
                  <a:latin typeface="Arial" panose="020B0604020202020204" pitchFamily="34" charset="0"/>
                  <a:cs typeface="Arial" panose="020B0604020202020204" pitchFamily="34" charset="0"/>
                </a:rPr>
                <a:t>İDARE</a:t>
              </a:r>
            </a:p>
          </xdr:txBody>
        </xdr:sp>
        <xdr:sp macro="" textlink="">
          <xdr:nvSpPr>
            <xdr:cNvPr id="32" name="TextBox 8"/>
            <xdr:cNvSpPr txBox="1"/>
          </xdr:nvSpPr>
          <xdr:spPr>
            <a:xfrm>
              <a:off x="2588723" y="13428509"/>
              <a:ext cx="2172156" cy="183813"/>
            </a:xfrm>
            <a:prstGeom prst="rect">
              <a:avLst/>
            </a:prstGeom>
            <a:noFill/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tr-TR" sz="1100" b="1">
                  <a:latin typeface="Arial" panose="020B0604020202020204" pitchFamily="34" charset="0"/>
                  <a:cs typeface="Arial" panose="020B0604020202020204" pitchFamily="34" charset="0"/>
                </a:rPr>
                <a:t>MÜŞAVİR</a:t>
              </a:r>
            </a:p>
          </xdr:txBody>
        </xdr:sp>
        <xdr:sp macro="" textlink="Dizayn!$F$14">
          <xdr:nvSpPr>
            <xdr:cNvPr id="33" name="TextBox 9"/>
            <xdr:cNvSpPr txBox="1"/>
          </xdr:nvSpPr>
          <xdr:spPr>
            <a:xfrm>
              <a:off x="419604" y="13612319"/>
              <a:ext cx="1079563" cy="106734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974B5D6D-6D97-4DBC-B41F-77A85594DCF2}" type="TxLink">
                <a:rPr lang="en-US" sz="9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Lab. Teknisyeni
Lab. Teknisyeni
...../...../.........</a:t>
              </a:fld>
              <a:endParaRPr lang="tr-TR" sz="9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Dizayn!$F$16">
          <xdr:nvSpPr>
            <xdr:cNvPr id="46" name="TextBox 10"/>
            <xdr:cNvSpPr txBox="1"/>
          </xdr:nvSpPr>
          <xdr:spPr>
            <a:xfrm>
              <a:off x="1499168" y="13612320"/>
              <a:ext cx="1089555" cy="10673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32106A95-3B41-458C-915F-EB96D628FE84}" type="TxLink">
                <a:rPr lang="en-US" sz="9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Şantiye Şefi
Şantiye Şefi
...../...../.........</a:t>
              </a:fld>
              <a:endParaRPr lang="tr-TR" sz="9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Dizayn!$F$18">
          <xdr:nvSpPr>
            <xdr:cNvPr id="47" name="TextBox 11"/>
            <xdr:cNvSpPr txBox="1"/>
          </xdr:nvSpPr>
          <xdr:spPr>
            <a:xfrm>
              <a:off x="2588723" y="13612320"/>
              <a:ext cx="1069091" cy="10673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65DA8B73-B566-4860-9E04-CB2A85D81846}" type="TxLink">
                <a:rPr lang="en-US" sz="9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Lab. Teknisyeni
Lab. Teknisyeni
...../...../.........</a:t>
              </a:fld>
              <a:endParaRPr lang="tr-TR" sz="9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Dizayn!$F$22">
          <xdr:nvSpPr>
            <xdr:cNvPr id="48" name="TextBox 12"/>
            <xdr:cNvSpPr txBox="1"/>
          </xdr:nvSpPr>
          <xdr:spPr>
            <a:xfrm>
              <a:off x="4760878" y="13612320"/>
              <a:ext cx="1082359" cy="10673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6C673218-7AAF-45F5-A6E5-FD1C0B4141F9}" type="TxLink">
                <a:rPr lang="en-US" sz="9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
...../...../.........</a:t>
              </a:fld>
              <a:endParaRPr lang="tr-TR" sz="9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Dizayn!$F$24">
          <xdr:nvSpPr>
            <xdr:cNvPr id="49" name="TextBox 13"/>
            <xdr:cNvSpPr txBox="1"/>
          </xdr:nvSpPr>
          <xdr:spPr>
            <a:xfrm>
              <a:off x="5843238" y="13612320"/>
              <a:ext cx="1084441" cy="10673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059AA4D6-9B51-4CEF-86F2-29277D0A6879}" type="TxLink">
                <a:rPr lang="en-US" sz="9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
...../...../.........</a:t>
              </a:fld>
              <a:endParaRPr lang="tr-TR" sz="9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</xdr:grpSp>
    <xdr:clientData/>
  </xdr:twoCellAnchor>
  <xdr:oneCellAnchor>
    <xdr:from>
      <xdr:col>25</xdr:col>
      <xdr:colOff>0</xdr:colOff>
      <xdr:row>0</xdr:row>
      <xdr:rowOff>57150</xdr:rowOff>
    </xdr:from>
    <xdr:ext cx="1085849" cy="923925"/>
    <xdr:pic>
      <xdr:nvPicPr>
        <xdr:cNvPr id="15" name="Resim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57150"/>
          <a:ext cx="1085849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oneCellAnchor>
  <xdr:oneCellAnchor>
    <xdr:from>
      <xdr:col>10</xdr:col>
      <xdr:colOff>0</xdr:colOff>
      <xdr:row>0</xdr:row>
      <xdr:rowOff>66675</xdr:rowOff>
    </xdr:from>
    <xdr:ext cx="2343150" cy="914400"/>
    <xdr:pic>
      <xdr:nvPicPr>
        <xdr:cNvPr id="17" name="Resim 1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66675"/>
          <a:ext cx="23431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7</xdr:rowOff>
    </xdr:from>
    <xdr:to>
      <xdr:col>32</xdr:col>
      <xdr:colOff>180974</xdr:colOff>
      <xdr:row>41</xdr:row>
      <xdr:rowOff>7</xdr:rowOff>
    </xdr:to>
    <xdr:grpSp>
      <xdr:nvGrpSpPr>
        <xdr:cNvPr id="27" name="Group 7"/>
        <xdr:cNvGrpSpPr>
          <a:grpSpLocks/>
        </xdr:cNvGrpSpPr>
      </xdr:nvGrpSpPr>
      <xdr:grpSpPr bwMode="auto">
        <a:xfrm>
          <a:off x="9525" y="8562982"/>
          <a:ext cx="5962649" cy="1543050"/>
          <a:chOff x="419604" y="13428503"/>
          <a:chExt cx="6508075" cy="1251160"/>
        </a:xfrm>
      </xdr:grpSpPr>
      <xdr:sp macro="" textlink="Dizayn!$F$20">
        <xdr:nvSpPr>
          <xdr:cNvPr id="28" name="TextBox 4"/>
          <xdr:cNvSpPr txBox="1"/>
        </xdr:nvSpPr>
        <xdr:spPr>
          <a:xfrm>
            <a:off x="3657815" y="13612320"/>
            <a:ext cx="1105622" cy="1067343"/>
          </a:xfrm>
          <a:prstGeom prst="rect">
            <a:avLst/>
          </a:prstGeom>
          <a:solidFill>
            <a:schemeClr val="lt1"/>
          </a:solidFill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ctr"/>
            <a:fld id="{B88F777E-C1E4-4824-A365-68846AA594A0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
...../...../.........</a:t>
            </a:fld>
            <a:endParaRPr lang="tr-TR" sz="9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grpSp>
        <xdr:nvGrpSpPr>
          <xdr:cNvPr id="29" name="Group 9"/>
          <xdr:cNvGrpSpPr>
            <a:grpSpLocks/>
          </xdr:cNvGrpSpPr>
        </xdr:nvGrpSpPr>
        <xdr:grpSpPr bwMode="auto">
          <a:xfrm>
            <a:off x="419604" y="13428503"/>
            <a:ext cx="6508075" cy="1251160"/>
            <a:chOff x="419604" y="13428503"/>
            <a:chExt cx="6508075" cy="1251160"/>
          </a:xfrm>
        </xdr:grpSpPr>
        <xdr:sp macro="" textlink="">
          <xdr:nvSpPr>
            <xdr:cNvPr id="30" name="TextBox 6"/>
            <xdr:cNvSpPr txBox="1"/>
          </xdr:nvSpPr>
          <xdr:spPr>
            <a:xfrm>
              <a:off x="419604" y="13428505"/>
              <a:ext cx="2169119" cy="183813"/>
            </a:xfrm>
            <a:prstGeom prst="rect">
              <a:avLst/>
            </a:prstGeom>
            <a:noFill/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tIns="0" bIns="0" rtlCol="0" anchor="ctr"/>
            <a:lstStyle/>
            <a:p>
              <a:pPr algn="ctr"/>
              <a:r>
                <a:rPr lang="tr-TR" sz="1100" b="1">
                  <a:latin typeface="Arial" panose="020B0604020202020204" pitchFamily="34" charset="0"/>
                  <a:cs typeface="Arial" panose="020B0604020202020204" pitchFamily="34" charset="0"/>
                </a:rPr>
                <a:t>YÜKLENİCİ</a:t>
              </a:r>
            </a:p>
          </xdr:txBody>
        </xdr:sp>
        <xdr:sp macro="" textlink="">
          <xdr:nvSpPr>
            <xdr:cNvPr id="31" name="TextBox 7"/>
            <xdr:cNvSpPr txBox="1"/>
          </xdr:nvSpPr>
          <xdr:spPr>
            <a:xfrm>
              <a:off x="4760878" y="13428503"/>
              <a:ext cx="2166801" cy="183813"/>
            </a:xfrm>
            <a:prstGeom prst="rect">
              <a:avLst/>
            </a:prstGeom>
            <a:noFill/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tr-TR" sz="1100" b="1">
                  <a:latin typeface="Arial" panose="020B0604020202020204" pitchFamily="34" charset="0"/>
                  <a:cs typeface="Arial" panose="020B0604020202020204" pitchFamily="34" charset="0"/>
                </a:rPr>
                <a:t>İDARE</a:t>
              </a:r>
            </a:p>
          </xdr:txBody>
        </xdr:sp>
        <xdr:sp macro="" textlink="">
          <xdr:nvSpPr>
            <xdr:cNvPr id="32" name="TextBox 8"/>
            <xdr:cNvSpPr txBox="1"/>
          </xdr:nvSpPr>
          <xdr:spPr>
            <a:xfrm>
              <a:off x="2588723" y="13428509"/>
              <a:ext cx="2172156" cy="183813"/>
            </a:xfrm>
            <a:prstGeom prst="rect">
              <a:avLst/>
            </a:prstGeom>
            <a:noFill/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tr-TR" sz="1100" b="1">
                  <a:latin typeface="Arial" panose="020B0604020202020204" pitchFamily="34" charset="0"/>
                  <a:cs typeface="Arial" panose="020B0604020202020204" pitchFamily="34" charset="0"/>
                </a:rPr>
                <a:t>MÜŞAVİR</a:t>
              </a:r>
            </a:p>
          </xdr:txBody>
        </xdr:sp>
        <xdr:sp macro="" textlink="Dizayn!$F$14">
          <xdr:nvSpPr>
            <xdr:cNvPr id="33" name="TextBox 9"/>
            <xdr:cNvSpPr txBox="1"/>
          </xdr:nvSpPr>
          <xdr:spPr>
            <a:xfrm>
              <a:off x="419604" y="13612319"/>
              <a:ext cx="1079563" cy="106734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974B5D6D-6D97-4DBC-B41F-77A85594DCF2}" type="TxLink">
                <a:rPr lang="en-US" sz="9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Lab. Teknisyeni
Lab. Teknisyeni
...../...../.........</a:t>
              </a:fld>
              <a:endParaRPr lang="tr-TR" sz="9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Dizayn!$F$16">
          <xdr:nvSpPr>
            <xdr:cNvPr id="34" name="TextBox 10"/>
            <xdr:cNvSpPr txBox="1"/>
          </xdr:nvSpPr>
          <xdr:spPr>
            <a:xfrm>
              <a:off x="1499168" y="13612320"/>
              <a:ext cx="1089555" cy="10673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32106A95-3B41-458C-915F-EB96D628FE84}" type="TxLink">
                <a:rPr lang="en-US" sz="9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Şantiye Şefi
Şantiye Şefi
...../...../.........</a:t>
              </a:fld>
              <a:endParaRPr lang="tr-TR" sz="9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Dizayn!$F$18">
          <xdr:nvSpPr>
            <xdr:cNvPr id="35" name="TextBox 11"/>
            <xdr:cNvSpPr txBox="1"/>
          </xdr:nvSpPr>
          <xdr:spPr>
            <a:xfrm>
              <a:off x="2588723" y="13612320"/>
              <a:ext cx="1069091" cy="10673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65DA8B73-B566-4860-9E04-CB2A85D81846}" type="TxLink">
                <a:rPr lang="en-US" sz="9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Lab. Teknisyeni
Lab. Teknisyeni
...../...../.........</a:t>
              </a:fld>
              <a:endParaRPr lang="tr-TR" sz="9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Dizayn!$F$22">
          <xdr:nvSpPr>
            <xdr:cNvPr id="36" name="TextBox 12"/>
            <xdr:cNvSpPr txBox="1"/>
          </xdr:nvSpPr>
          <xdr:spPr>
            <a:xfrm>
              <a:off x="4760878" y="13612320"/>
              <a:ext cx="1082359" cy="10673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6C673218-7AAF-45F5-A6E5-FD1C0B4141F9}" type="TxLink">
                <a:rPr lang="en-US" sz="9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
...../...../.........</a:t>
              </a:fld>
              <a:endParaRPr lang="tr-TR" sz="9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Dizayn!$F$24">
          <xdr:nvSpPr>
            <xdr:cNvPr id="37" name="TextBox 13"/>
            <xdr:cNvSpPr txBox="1"/>
          </xdr:nvSpPr>
          <xdr:spPr>
            <a:xfrm>
              <a:off x="5843238" y="13612320"/>
              <a:ext cx="1084441" cy="10673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pPr algn="ctr"/>
              <a:fld id="{059AA4D6-9B51-4CEF-86F2-29277D0A6879}" type="TxLink">
                <a:rPr lang="en-US" sz="900" b="0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
...../...../.........</a:t>
              </a:fld>
              <a:endParaRPr lang="tr-TR" sz="9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</xdr:grpSp>
    <xdr:clientData/>
  </xdr:twoCellAnchor>
  <xdr:oneCellAnchor>
    <xdr:from>
      <xdr:col>25</xdr:col>
      <xdr:colOff>0</xdr:colOff>
      <xdr:row>0</xdr:row>
      <xdr:rowOff>57150</xdr:rowOff>
    </xdr:from>
    <xdr:ext cx="1085849" cy="923925"/>
    <xdr:pic>
      <xdr:nvPicPr>
        <xdr:cNvPr id="14" name="Resim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57150"/>
          <a:ext cx="1085849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oneCellAnchor>
  <xdr:oneCellAnchor>
    <xdr:from>
      <xdr:col>10</xdr:col>
      <xdr:colOff>0</xdr:colOff>
      <xdr:row>0</xdr:row>
      <xdr:rowOff>66675</xdr:rowOff>
    </xdr:from>
    <xdr:ext cx="2343150" cy="914400"/>
    <xdr:pic>
      <xdr:nvPicPr>
        <xdr:cNvPr id="17" name="Resim 1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66675"/>
          <a:ext cx="23431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zoomScaleNormal="100" zoomScaleSheetLayoutView="55" workbookViewId="0">
      <selection activeCell="M2" sqref="M2"/>
    </sheetView>
  </sheetViews>
  <sheetFormatPr defaultRowHeight="15" x14ac:dyDescent="0.25"/>
  <cols>
    <col min="1" max="1" width="3.42578125" style="237" customWidth="1"/>
    <col min="2" max="2" width="53.5703125" style="237" bestFit="1" customWidth="1"/>
    <col min="3" max="14" width="11" style="237" customWidth="1"/>
    <col min="15" max="16384" width="9.140625" style="237"/>
  </cols>
  <sheetData>
    <row r="1" spans="1:14" x14ac:dyDescent="0.25">
      <c r="A1" s="281"/>
      <c r="B1" s="281"/>
      <c r="C1" s="439" t="s">
        <v>287</v>
      </c>
      <c r="D1" s="439"/>
      <c r="E1" s="439" t="s">
        <v>288</v>
      </c>
      <c r="F1" s="439"/>
      <c r="G1" s="439" t="s">
        <v>289</v>
      </c>
      <c r="H1" s="439"/>
      <c r="I1" s="439" t="s">
        <v>290</v>
      </c>
      <c r="J1" s="439"/>
      <c r="K1" s="279"/>
      <c r="L1" s="280"/>
      <c r="M1" s="280"/>
      <c r="N1" s="280"/>
    </row>
    <row r="2" spans="1:14" ht="30" customHeight="1" x14ac:dyDescent="0.25">
      <c r="A2" s="414" t="s">
        <v>340</v>
      </c>
      <c r="B2" s="236" t="s">
        <v>341</v>
      </c>
      <c r="C2" s="417" t="s">
        <v>382</v>
      </c>
      <c r="D2" s="417"/>
      <c r="E2" s="417" t="s">
        <v>383</v>
      </c>
      <c r="F2" s="417"/>
      <c r="G2" s="417"/>
      <c r="H2" s="417"/>
      <c r="I2" s="417"/>
      <c r="J2" s="417"/>
      <c r="K2" s="279"/>
      <c r="L2" s="280"/>
      <c r="M2" s="280"/>
      <c r="N2" s="280"/>
    </row>
    <row r="3" spans="1:14" ht="30" customHeight="1" x14ac:dyDescent="0.25">
      <c r="A3" s="415"/>
      <c r="B3" s="238" t="s">
        <v>342</v>
      </c>
      <c r="C3" s="418" t="s">
        <v>343</v>
      </c>
      <c r="D3" s="418"/>
      <c r="E3" s="417" t="s">
        <v>344</v>
      </c>
      <c r="F3" s="417"/>
      <c r="G3" s="417"/>
      <c r="H3" s="417"/>
      <c r="I3" s="417"/>
      <c r="J3" s="417"/>
      <c r="K3" s="281"/>
      <c r="L3" s="282"/>
      <c r="M3" s="282"/>
      <c r="N3" s="282"/>
    </row>
    <row r="4" spans="1:14" ht="30" customHeight="1" x14ac:dyDescent="0.25">
      <c r="A4" s="415"/>
      <c r="B4" s="236" t="s">
        <v>345</v>
      </c>
      <c r="C4" s="417" t="s">
        <v>346</v>
      </c>
      <c r="D4" s="417"/>
      <c r="E4" s="417" t="s">
        <v>346</v>
      </c>
      <c r="F4" s="417"/>
      <c r="G4" s="417"/>
      <c r="H4" s="417"/>
      <c r="I4" s="417"/>
      <c r="J4" s="417"/>
      <c r="K4" s="279"/>
      <c r="L4" s="280"/>
      <c r="M4" s="280"/>
      <c r="N4" s="280"/>
    </row>
    <row r="5" spans="1:14" ht="30" customHeight="1" x14ac:dyDescent="0.25">
      <c r="A5" s="415"/>
      <c r="B5" s="238" t="s">
        <v>347</v>
      </c>
      <c r="C5" s="418" t="s">
        <v>348</v>
      </c>
      <c r="D5" s="418"/>
      <c r="E5" s="417" t="s">
        <v>348</v>
      </c>
      <c r="F5" s="417"/>
      <c r="G5" s="417"/>
      <c r="H5" s="417"/>
      <c r="I5" s="417"/>
      <c r="J5" s="417"/>
      <c r="K5" s="281"/>
      <c r="L5" s="282"/>
      <c r="M5" s="282"/>
      <c r="N5" s="282"/>
    </row>
    <row r="6" spans="1:14" ht="30" customHeight="1" x14ac:dyDescent="0.25">
      <c r="A6" s="415"/>
      <c r="B6" s="236" t="s">
        <v>349</v>
      </c>
      <c r="C6" s="417" t="s">
        <v>348</v>
      </c>
      <c r="D6" s="417"/>
      <c r="E6" s="417" t="s">
        <v>348</v>
      </c>
      <c r="F6" s="417"/>
      <c r="G6" s="417"/>
      <c r="H6" s="417"/>
      <c r="I6" s="417"/>
      <c r="J6" s="417"/>
      <c r="K6" s="279"/>
      <c r="L6" s="280"/>
      <c r="M6" s="280"/>
      <c r="N6" s="280"/>
    </row>
    <row r="7" spans="1:14" ht="30" customHeight="1" x14ac:dyDescent="0.25">
      <c r="A7" s="416"/>
      <c r="B7" s="238" t="s">
        <v>350</v>
      </c>
      <c r="C7" s="418" t="s">
        <v>351</v>
      </c>
      <c r="D7" s="418"/>
      <c r="E7" s="417" t="s">
        <v>408</v>
      </c>
      <c r="F7" s="417"/>
      <c r="G7" s="417"/>
      <c r="H7" s="417"/>
      <c r="I7" s="417"/>
      <c r="J7" s="417"/>
      <c r="K7" s="281"/>
      <c r="L7" s="282"/>
      <c r="M7" s="282"/>
      <c r="N7" s="282"/>
    </row>
    <row r="8" spans="1:14" x14ac:dyDescent="0.25">
      <c r="A8" s="429"/>
      <c r="B8" s="430"/>
      <c r="C8" s="430"/>
      <c r="D8" s="430"/>
      <c r="E8" s="430"/>
      <c r="F8" s="430"/>
      <c r="G8" s="430"/>
      <c r="H8" s="430"/>
      <c r="I8" s="430"/>
      <c r="J8" s="430"/>
      <c r="K8" s="431"/>
      <c r="L8" s="431"/>
      <c r="M8" s="431"/>
      <c r="N8" s="432"/>
    </row>
    <row r="9" spans="1:14" ht="19.5" customHeight="1" x14ac:dyDescent="0.25">
      <c r="A9" s="403" t="s">
        <v>285</v>
      </c>
      <c r="B9" s="404"/>
      <c r="C9" s="409" t="s">
        <v>286</v>
      </c>
      <c r="D9" s="410"/>
      <c r="E9" s="410"/>
      <c r="F9" s="410"/>
      <c r="G9" s="410"/>
      <c r="H9" s="410"/>
      <c r="I9" s="410"/>
      <c r="J9" s="411"/>
      <c r="K9" s="409" t="s">
        <v>286</v>
      </c>
      <c r="L9" s="410"/>
      <c r="M9" s="410"/>
      <c r="N9" s="411"/>
    </row>
    <row r="10" spans="1:14" ht="20.100000000000001" customHeight="1" x14ac:dyDescent="0.25">
      <c r="A10" s="405"/>
      <c r="B10" s="406"/>
      <c r="C10" s="409" t="s">
        <v>287</v>
      </c>
      <c r="D10" s="411"/>
      <c r="E10" s="409" t="s">
        <v>288</v>
      </c>
      <c r="F10" s="411"/>
      <c r="G10" s="409" t="s">
        <v>289</v>
      </c>
      <c r="H10" s="411"/>
      <c r="I10" s="409" t="s">
        <v>290</v>
      </c>
      <c r="J10" s="411"/>
      <c r="K10" s="409" t="s">
        <v>291</v>
      </c>
      <c r="L10" s="411"/>
      <c r="M10" s="409" t="s">
        <v>292</v>
      </c>
      <c r="N10" s="411"/>
    </row>
    <row r="11" spans="1:14" ht="20.100000000000001" customHeight="1" x14ac:dyDescent="0.25">
      <c r="A11" s="407"/>
      <c r="B11" s="408"/>
      <c r="C11" s="239" t="s">
        <v>293</v>
      </c>
      <c r="D11" s="239" t="s">
        <v>294</v>
      </c>
      <c r="E11" s="239" t="s">
        <v>293</v>
      </c>
      <c r="F11" s="239" t="s">
        <v>294</v>
      </c>
      <c r="G11" s="239" t="s">
        <v>293</v>
      </c>
      <c r="H11" s="239" t="s">
        <v>294</v>
      </c>
      <c r="I11" s="239" t="s">
        <v>293</v>
      </c>
      <c r="J11" s="239" t="s">
        <v>294</v>
      </c>
      <c r="K11" s="239" t="s">
        <v>293</v>
      </c>
      <c r="L11" s="239" t="s">
        <v>294</v>
      </c>
      <c r="M11" s="239" t="s">
        <v>293</v>
      </c>
      <c r="N11" s="239" t="s">
        <v>294</v>
      </c>
    </row>
    <row r="12" spans="1:14" ht="20.100000000000001" customHeight="1" x14ac:dyDescent="0.25">
      <c r="A12" s="422" t="s">
        <v>295</v>
      </c>
      <c r="B12" s="240" t="s">
        <v>296</v>
      </c>
      <c r="C12" s="390" t="s">
        <v>297</v>
      </c>
      <c r="D12" s="391"/>
      <c r="E12" s="390" t="s">
        <v>297</v>
      </c>
      <c r="F12" s="391"/>
      <c r="G12" s="390" t="s">
        <v>298</v>
      </c>
      <c r="H12" s="397"/>
      <c r="I12" s="397"/>
      <c r="J12" s="391"/>
      <c r="K12" s="390" t="s">
        <v>299</v>
      </c>
      <c r="L12" s="397"/>
      <c r="M12" s="397"/>
      <c r="N12" s="391"/>
    </row>
    <row r="13" spans="1:14" ht="20.100000000000001" customHeight="1" x14ac:dyDescent="0.25">
      <c r="A13" s="423"/>
      <c r="B13" s="241" t="s">
        <v>300</v>
      </c>
      <c r="C13" s="387" t="s">
        <v>299</v>
      </c>
      <c r="D13" s="389"/>
      <c r="E13" s="387" t="s">
        <v>299</v>
      </c>
      <c r="F13" s="389"/>
      <c r="G13" s="387" t="s">
        <v>301</v>
      </c>
      <c r="H13" s="388"/>
      <c r="I13" s="388"/>
      <c r="J13" s="389"/>
      <c r="K13" s="387" t="s">
        <v>301</v>
      </c>
      <c r="L13" s="388"/>
      <c r="M13" s="388"/>
      <c r="N13" s="389"/>
    </row>
    <row r="14" spans="1:14" ht="20.100000000000001" customHeight="1" x14ac:dyDescent="0.25">
      <c r="A14" s="423"/>
      <c r="B14" s="240" t="s">
        <v>302</v>
      </c>
      <c r="C14" s="390" t="s">
        <v>303</v>
      </c>
      <c r="D14" s="391"/>
      <c r="E14" s="390" t="s">
        <v>303</v>
      </c>
      <c r="F14" s="391"/>
      <c r="G14" s="390" t="s">
        <v>304</v>
      </c>
      <c r="H14" s="397"/>
      <c r="I14" s="397"/>
      <c r="J14" s="391"/>
      <c r="K14" s="390" t="s">
        <v>305</v>
      </c>
      <c r="L14" s="397"/>
      <c r="M14" s="397"/>
      <c r="N14" s="391"/>
    </row>
    <row r="15" spans="1:14" ht="30" x14ac:dyDescent="0.25">
      <c r="A15" s="423"/>
      <c r="B15" s="241" t="s">
        <v>306</v>
      </c>
      <c r="C15" s="387" t="s">
        <v>307</v>
      </c>
      <c r="D15" s="388"/>
      <c r="E15" s="388"/>
      <c r="F15" s="388"/>
      <c r="G15" s="388"/>
      <c r="H15" s="388"/>
      <c r="I15" s="388"/>
      <c r="J15" s="389"/>
      <c r="K15" s="387" t="s">
        <v>308</v>
      </c>
      <c r="L15" s="388"/>
      <c r="M15" s="388"/>
      <c r="N15" s="389"/>
    </row>
    <row r="16" spans="1:14" ht="20.100000000000001" customHeight="1" x14ac:dyDescent="0.25">
      <c r="A16" s="423"/>
      <c r="B16" s="240" t="s">
        <v>309</v>
      </c>
      <c r="C16" s="390" t="s">
        <v>297</v>
      </c>
      <c r="D16" s="391"/>
      <c r="E16" s="390" t="s">
        <v>297</v>
      </c>
      <c r="F16" s="391"/>
      <c r="G16" s="390" t="s">
        <v>299</v>
      </c>
      <c r="H16" s="397"/>
      <c r="I16" s="397"/>
      <c r="J16" s="391"/>
      <c r="K16" s="390" t="s">
        <v>299</v>
      </c>
      <c r="L16" s="397"/>
      <c r="M16" s="397"/>
      <c r="N16" s="391"/>
    </row>
    <row r="17" spans="1:14" ht="20.100000000000001" customHeight="1" x14ac:dyDescent="0.25">
      <c r="A17" s="423"/>
      <c r="B17" s="241" t="s">
        <v>310</v>
      </c>
      <c r="C17" s="387" t="s">
        <v>311</v>
      </c>
      <c r="D17" s="392"/>
      <c r="E17" s="387" t="s">
        <v>311</v>
      </c>
      <c r="F17" s="392"/>
      <c r="G17" s="387" t="s">
        <v>312</v>
      </c>
      <c r="H17" s="388"/>
      <c r="I17" s="388"/>
      <c r="J17" s="389"/>
      <c r="K17" s="387" t="s">
        <v>312</v>
      </c>
      <c r="L17" s="388"/>
      <c r="M17" s="388"/>
      <c r="N17" s="389"/>
    </row>
    <row r="18" spans="1:14" ht="20.100000000000001" customHeight="1" x14ac:dyDescent="0.25">
      <c r="A18" s="423"/>
      <c r="B18" s="240" t="s">
        <v>313</v>
      </c>
      <c r="C18" s="393" t="s">
        <v>376</v>
      </c>
      <c r="D18" s="394"/>
      <c r="E18" s="393" t="s">
        <v>376</v>
      </c>
      <c r="F18" s="394"/>
      <c r="G18" s="393" t="s">
        <v>377</v>
      </c>
      <c r="H18" s="395"/>
      <c r="I18" s="395"/>
      <c r="J18" s="396"/>
      <c r="K18" s="393" t="s">
        <v>377</v>
      </c>
      <c r="L18" s="395"/>
      <c r="M18" s="395"/>
      <c r="N18" s="396"/>
    </row>
    <row r="19" spans="1:14" ht="20.100000000000001" customHeight="1" x14ac:dyDescent="0.25">
      <c r="A19" s="423"/>
      <c r="B19" s="241" t="s">
        <v>315</v>
      </c>
      <c r="C19" s="425" t="s">
        <v>316</v>
      </c>
      <c r="D19" s="426"/>
      <c r="E19" s="426"/>
      <c r="F19" s="426"/>
      <c r="G19" s="426"/>
      <c r="H19" s="426"/>
      <c r="I19" s="426"/>
      <c r="J19" s="426"/>
      <c r="K19" s="426"/>
      <c r="L19" s="426"/>
      <c r="M19" s="426"/>
      <c r="N19" s="427"/>
    </row>
    <row r="20" spans="1:14" ht="20.100000000000001" customHeight="1" x14ac:dyDescent="0.25">
      <c r="A20" s="424"/>
      <c r="B20" s="240" t="s">
        <v>317</v>
      </c>
      <c r="C20" s="390" t="s">
        <v>318</v>
      </c>
      <c r="D20" s="397"/>
      <c r="E20" s="397"/>
      <c r="F20" s="397"/>
      <c r="G20" s="397"/>
      <c r="H20" s="397"/>
      <c r="I20" s="397"/>
      <c r="J20" s="391"/>
      <c r="K20" s="412" t="s">
        <v>319</v>
      </c>
      <c r="L20" s="428"/>
      <c r="M20" s="428"/>
      <c r="N20" s="413"/>
    </row>
    <row r="21" spans="1:14" ht="20.100000000000001" customHeight="1" x14ac:dyDescent="0.25">
      <c r="A21" s="422" t="s">
        <v>320</v>
      </c>
      <c r="B21" s="241" t="s">
        <v>321</v>
      </c>
      <c r="C21" s="387" t="s">
        <v>322</v>
      </c>
      <c r="D21" s="388"/>
      <c r="E21" s="388"/>
      <c r="F21" s="388"/>
      <c r="G21" s="388"/>
      <c r="H21" s="388"/>
      <c r="I21" s="388"/>
      <c r="J21" s="388"/>
      <c r="K21" s="388"/>
      <c r="L21" s="388"/>
      <c r="M21" s="388"/>
      <c r="N21" s="389"/>
    </row>
    <row r="22" spans="1:14" ht="20.100000000000001" customHeight="1" x14ac:dyDescent="0.25">
      <c r="A22" s="423"/>
      <c r="B22" s="240" t="s">
        <v>323</v>
      </c>
      <c r="C22" s="390" t="s">
        <v>324</v>
      </c>
      <c r="D22" s="397"/>
      <c r="E22" s="397"/>
      <c r="F22" s="397"/>
      <c r="G22" s="397"/>
      <c r="H22" s="397"/>
      <c r="I22" s="397"/>
      <c r="J22" s="397"/>
      <c r="K22" s="397"/>
      <c r="L22" s="397"/>
      <c r="M22" s="397"/>
      <c r="N22" s="391"/>
    </row>
    <row r="23" spans="1:14" ht="20.100000000000001" customHeight="1" x14ac:dyDescent="0.25">
      <c r="A23" s="423"/>
      <c r="B23" s="241" t="s">
        <v>313</v>
      </c>
      <c r="C23" s="387" t="s">
        <v>376</v>
      </c>
      <c r="D23" s="392"/>
      <c r="E23" s="387" t="s">
        <v>376</v>
      </c>
      <c r="F23" s="392"/>
      <c r="G23" s="387" t="s">
        <v>377</v>
      </c>
      <c r="H23" s="389"/>
      <c r="I23" s="387" t="s">
        <v>376</v>
      </c>
      <c r="J23" s="389"/>
      <c r="K23" s="387" t="s">
        <v>377</v>
      </c>
      <c r="L23" s="388"/>
      <c r="M23" s="388"/>
      <c r="N23" s="389"/>
    </row>
    <row r="24" spans="1:14" ht="32.25" customHeight="1" x14ac:dyDescent="0.25">
      <c r="A24" s="424"/>
      <c r="B24" s="240" t="s">
        <v>325</v>
      </c>
      <c r="C24" s="390" t="s">
        <v>326</v>
      </c>
      <c r="D24" s="413"/>
      <c r="E24" s="390" t="s">
        <v>327</v>
      </c>
      <c r="F24" s="397"/>
      <c r="G24" s="397"/>
      <c r="H24" s="397"/>
      <c r="I24" s="397"/>
      <c r="J24" s="391"/>
      <c r="K24" s="390" t="s">
        <v>327</v>
      </c>
      <c r="L24" s="397"/>
      <c r="M24" s="397"/>
      <c r="N24" s="391"/>
    </row>
    <row r="25" spans="1:14" ht="20.100000000000001" customHeight="1" x14ac:dyDescent="0.25">
      <c r="A25" s="422" t="s">
        <v>36</v>
      </c>
      <c r="B25" s="241" t="s">
        <v>328</v>
      </c>
      <c r="C25" s="387">
        <v>75</v>
      </c>
      <c r="D25" s="388"/>
      <c r="E25" s="388"/>
      <c r="F25" s="388"/>
      <c r="G25" s="388"/>
      <c r="H25" s="388"/>
      <c r="I25" s="388"/>
      <c r="J25" s="389"/>
      <c r="K25" s="401">
        <v>50</v>
      </c>
      <c r="L25" s="402"/>
      <c r="M25" s="402"/>
      <c r="N25" s="392"/>
    </row>
    <row r="26" spans="1:14" ht="20.100000000000001" customHeight="1" x14ac:dyDescent="0.25">
      <c r="A26" s="423"/>
      <c r="B26" s="240" t="s">
        <v>329</v>
      </c>
      <c r="C26" s="390">
        <v>600</v>
      </c>
      <c r="D26" s="391"/>
      <c r="E26" s="412">
        <v>750</v>
      </c>
      <c r="F26" s="413"/>
      <c r="G26" s="412">
        <v>900</v>
      </c>
      <c r="H26" s="413"/>
      <c r="I26" s="412">
        <v>400</v>
      </c>
      <c r="J26" s="413"/>
      <c r="K26" s="242"/>
      <c r="L26" s="243"/>
      <c r="M26" s="243"/>
      <c r="N26" s="244"/>
    </row>
    <row r="27" spans="1:14" ht="20.100000000000001" customHeight="1" x14ac:dyDescent="0.25">
      <c r="A27" s="423"/>
      <c r="B27" s="241" t="s">
        <v>90</v>
      </c>
      <c r="C27" s="245">
        <v>4</v>
      </c>
      <c r="D27" s="246">
        <v>6</v>
      </c>
      <c r="E27" s="246">
        <v>4</v>
      </c>
      <c r="F27" s="246">
        <v>6</v>
      </c>
      <c r="G27" s="246">
        <v>3</v>
      </c>
      <c r="H27" s="246">
        <v>5</v>
      </c>
      <c r="I27" s="246">
        <v>5</v>
      </c>
      <c r="J27" s="246">
        <v>12</v>
      </c>
      <c r="K27" s="246">
        <v>2</v>
      </c>
      <c r="L27" s="246">
        <v>4</v>
      </c>
      <c r="M27" s="246">
        <v>3</v>
      </c>
      <c r="N27" s="246">
        <v>4</v>
      </c>
    </row>
    <row r="28" spans="1:14" ht="20.100000000000001" customHeight="1" x14ac:dyDescent="0.25">
      <c r="A28" s="423"/>
      <c r="B28" s="240" t="s">
        <v>330</v>
      </c>
      <c r="C28" s="247">
        <v>55</v>
      </c>
      <c r="D28" s="248">
        <v>75</v>
      </c>
      <c r="E28" s="248">
        <v>60</v>
      </c>
      <c r="F28" s="248">
        <v>75</v>
      </c>
      <c r="G28" s="248">
        <v>65</v>
      </c>
      <c r="H28" s="248">
        <v>75</v>
      </c>
      <c r="I28" s="242"/>
      <c r="J28" s="244"/>
      <c r="K28" s="412" t="s">
        <v>398</v>
      </c>
      <c r="L28" s="413"/>
      <c r="M28" s="412" t="s">
        <v>399</v>
      </c>
      <c r="N28" s="413"/>
    </row>
    <row r="29" spans="1:14" ht="20.100000000000001" customHeight="1" x14ac:dyDescent="0.25">
      <c r="A29" s="423"/>
      <c r="B29" s="241" t="s">
        <v>331</v>
      </c>
      <c r="C29" s="245">
        <v>12</v>
      </c>
      <c r="D29" s="246">
        <v>14.5</v>
      </c>
      <c r="E29" s="246">
        <v>13</v>
      </c>
      <c r="F29" s="246">
        <v>15</v>
      </c>
      <c r="G29" s="246">
        <v>14</v>
      </c>
      <c r="H29" s="246">
        <v>16</v>
      </c>
      <c r="I29" s="249"/>
      <c r="J29" s="250"/>
      <c r="K29" s="251"/>
      <c r="L29" s="252"/>
      <c r="M29" s="252"/>
      <c r="N29" s="253"/>
    </row>
    <row r="30" spans="1:14" ht="20.100000000000001" customHeight="1" x14ac:dyDescent="0.25">
      <c r="A30" s="423"/>
      <c r="B30" s="240" t="s">
        <v>332</v>
      </c>
      <c r="C30" s="248">
        <v>2</v>
      </c>
      <c r="D30" s="248">
        <v>5</v>
      </c>
      <c r="E30" s="248">
        <v>2</v>
      </c>
      <c r="F30" s="248">
        <v>4</v>
      </c>
      <c r="G30" s="248">
        <v>2</v>
      </c>
      <c r="H30" s="248">
        <v>4</v>
      </c>
      <c r="I30" s="248">
        <v>2</v>
      </c>
      <c r="J30" s="248">
        <v>4</v>
      </c>
      <c r="K30" s="254"/>
      <c r="L30" s="255"/>
      <c r="M30" s="255"/>
      <c r="N30" s="256"/>
    </row>
    <row r="31" spans="1:14" ht="20.100000000000001" customHeight="1" x14ac:dyDescent="0.25">
      <c r="A31" s="423"/>
      <c r="B31" s="241" t="s">
        <v>333</v>
      </c>
      <c r="C31" s="249"/>
      <c r="D31" s="250"/>
      <c r="E31" s="401">
        <v>1.4</v>
      </c>
      <c r="F31" s="392"/>
      <c r="G31" s="401">
        <v>1.5</v>
      </c>
      <c r="H31" s="392"/>
      <c r="I31" s="249"/>
      <c r="J31" s="250"/>
      <c r="K31" s="257"/>
      <c r="L31" s="258"/>
      <c r="M31" s="258"/>
      <c r="N31" s="259"/>
    </row>
    <row r="32" spans="1:14" ht="29.25" customHeight="1" x14ac:dyDescent="0.25">
      <c r="A32" s="423"/>
      <c r="B32" s="240" t="s">
        <v>334</v>
      </c>
      <c r="C32" s="248">
        <v>3</v>
      </c>
      <c r="D32" s="248">
        <v>5.5</v>
      </c>
      <c r="E32" s="248">
        <v>3.5</v>
      </c>
      <c r="F32" s="248">
        <v>6.5</v>
      </c>
      <c r="G32" s="248">
        <v>4</v>
      </c>
      <c r="H32" s="248">
        <v>7</v>
      </c>
      <c r="I32" s="248">
        <v>5</v>
      </c>
      <c r="J32" s="248">
        <v>8</v>
      </c>
      <c r="K32" s="412" t="s">
        <v>397</v>
      </c>
      <c r="L32" s="413"/>
      <c r="M32" s="412" t="s">
        <v>396</v>
      </c>
      <c r="N32" s="413"/>
    </row>
    <row r="33" spans="1:14" ht="20.100000000000001" customHeight="1" x14ac:dyDescent="0.25">
      <c r="A33" s="423"/>
      <c r="B33" s="241" t="s">
        <v>335</v>
      </c>
      <c r="C33" s="387">
        <v>80</v>
      </c>
      <c r="D33" s="388"/>
      <c r="E33" s="388"/>
      <c r="F33" s="388"/>
      <c r="G33" s="388"/>
      <c r="H33" s="388"/>
      <c r="I33" s="388"/>
      <c r="J33" s="388"/>
      <c r="K33" s="388"/>
      <c r="L33" s="388"/>
      <c r="M33" s="388"/>
      <c r="N33" s="389"/>
    </row>
    <row r="34" spans="1:14" x14ac:dyDescent="0.25">
      <c r="A34" s="423"/>
      <c r="B34" s="240" t="s">
        <v>336</v>
      </c>
      <c r="C34" s="419"/>
      <c r="D34" s="420"/>
      <c r="E34" s="420"/>
      <c r="F34" s="421"/>
      <c r="G34" s="390">
        <v>8</v>
      </c>
      <c r="H34" s="391"/>
      <c r="I34" s="419"/>
      <c r="J34" s="421"/>
      <c r="K34" s="390">
        <v>6</v>
      </c>
      <c r="L34" s="397"/>
      <c r="M34" s="397"/>
      <c r="N34" s="391"/>
    </row>
    <row r="35" spans="1:14" ht="30" x14ac:dyDescent="0.25">
      <c r="A35" s="423"/>
      <c r="B35" s="241" t="s">
        <v>337</v>
      </c>
      <c r="C35" s="398"/>
      <c r="D35" s="399"/>
      <c r="E35" s="399"/>
      <c r="F35" s="399"/>
      <c r="G35" s="399"/>
      <c r="H35" s="400"/>
      <c r="I35" s="387">
        <v>7</v>
      </c>
      <c r="J35" s="389"/>
      <c r="K35" s="387">
        <v>6</v>
      </c>
      <c r="L35" s="388"/>
      <c r="M35" s="388"/>
      <c r="N35" s="389"/>
    </row>
    <row r="36" spans="1:14" ht="20.100000000000001" customHeight="1" x14ac:dyDescent="0.25">
      <c r="A36" s="423"/>
      <c r="B36" s="240" t="s">
        <v>338</v>
      </c>
      <c r="C36" s="440"/>
      <c r="D36" s="441"/>
      <c r="E36" s="441"/>
      <c r="F36" s="441"/>
      <c r="G36" s="441"/>
      <c r="H36" s="441"/>
      <c r="I36" s="441"/>
      <c r="J36" s="442"/>
      <c r="K36" s="248">
        <v>0.3</v>
      </c>
      <c r="L36" s="248">
        <v>1</v>
      </c>
      <c r="M36" s="248">
        <v>0.2</v>
      </c>
      <c r="N36" s="248">
        <v>0.8</v>
      </c>
    </row>
    <row r="37" spans="1:14" ht="20.100000000000001" customHeight="1" x14ac:dyDescent="0.25">
      <c r="A37" s="424"/>
      <c r="B37" s="241" t="s">
        <v>339</v>
      </c>
      <c r="C37" s="443"/>
      <c r="D37" s="444"/>
      <c r="E37" s="444"/>
      <c r="F37" s="444"/>
      <c r="G37" s="444"/>
      <c r="H37" s="444"/>
      <c r="I37" s="444"/>
      <c r="J37" s="445"/>
      <c r="K37" s="401">
        <v>0.3</v>
      </c>
      <c r="L37" s="402"/>
      <c r="M37" s="402"/>
      <c r="N37" s="392"/>
    </row>
    <row r="38" spans="1:14" x14ac:dyDescent="0.25">
      <c r="A38" s="260"/>
      <c r="B38" s="260"/>
      <c r="C38" s="260"/>
      <c r="D38" s="260"/>
      <c r="E38" s="260"/>
      <c r="F38" s="260"/>
      <c r="G38" s="261"/>
      <c r="H38" s="261"/>
      <c r="I38" s="260"/>
      <c r="J38" s="260"/>
      <c r="K38" s="262"/>
      <c r="L38" s="262"/>
      <c r="M38" s="262"/>
      <c r="N38" s="262"/>
    </row>
    <row r="39" spans="1:14" ht="20.100000000000001" customHeight="1" x14ac:dyDescent="0.25">
      <c r="A39" s="422" t="s">
        <v>352</v>
      </c>
      <c r="B39" s="433" t="s">
        <v>285</v>
      </c>
      <c r="C39" s="409" t="s">
        <v>286</v>
      </c>
      <c r="D39" s="410"/>
      <c r="E39" s="410"/>
      <c r="F39" s="410"/>
      <c r="G39" s="410"/>
      <c r="H39" s="410"/>
      <c r="I39" s="410"/>
      <c r="J39" s="411"/>
      <c r="K39" s="263"/>
      <c r="L39" s="263"/>
      <c r="M39" s="263"/>
      <c r="N39" s="263"/>
    </row>
    <row r="40" spans="1:14" ht="20.100000000000001" customHeight="1" x14ac:dyDescent="0.25">
      <c r="A40" s="423"/>
      <c r="B40" s="434"/>
      <c r="C40" s="409" t="s">
        <v>352</v>
      </c>
      <c r="D40" s="411"/>
      <c r="E40" s="409" t="s">
        <v>353</v>
      </c>
      <c r="F40" s="410"/>
      <c r="G40" s="410"/>
      <c r="H40" s="411"/>
      <c r="I40" s="409" t="s">
        <v>354</v>
      </c>
      <c r="J40" s="411"/>
      <c r="K40" s="263"/>
      <c r="L40" s="263"/>
      <c r="M40" s="263"/>
      <c r="N40" s="263"/>
    </row>
    <row r="41" spans="1:14" ht="20.100000000000001" customHeight="1" x14ac:dyDescent="0.25">
      <c r="A41" s="423"/>
      <c r="B41" s="241" t="s">
        <v>296</v>
      </c>
      <c r="C41" s="384" t="s">
        <v>297</v>
      </c>
      <c r="D41" s="386"/>
      <c r="E41" s="386"/>
      <c r="F41" s="386"/>
      <c r="G41" s="386"/>
      <c r="H41" s="386"/>
      <c r="I41" s="386"/>
      <c r="J41" s="385"/>
      <c r="K41" s="263"/>
      <c r="L41" s="263"/>
      <c r="M41" s="263"/>
      <c r="N41" s="263"/>
    </row>
    <row r="42" spans="1:14" ht="20.100000000000001" customHeight="1" x14ac:dyDescent="0.25">
      <c r="A42" s="423"/>
      <c r="B42" s="240" t="s">
        <v>300</v>
      </c>
      <c r="C42" s="264" t="s">
        <v>299</v>
      </c>
      <c r="D42" s="264"/>
      <c r="E42" s="264" t="s">
        <v>299</v>
      </c>
      <c r="F42" s="264"/>
      <c r="G42" s="264"/>
      <c r="H42" s="264"/>
      <c r="I42" s="264" t="s">
        <v>299</v>
      </c>
      <c r="J42" s="264"/>
      <c r="K42" s="263"/>
      <c r="L42" s="263"/>
      <c r="M42" s="263"/>
      <c r="N42" s="263"/>
    </row>
    <row r="43" spans="1:14" ht="20.100000000000001" customHeight="1" x14ac:dyDescent="0.25">
      <c r="A43" s="423"/>
      <c r="B43" s="241" t="s">
        <v>302</v>
      </c>
      <c r="C43" s="265" t="s">
        <v>303</v>
      </c>
      <c r="D43" s="265"/>
      <c r="E43" s="265" t="s">
        <v>303</v>
      </c>
      <c r="F43" s="265"/>
      <c r="G43" s="265"/>
      <c r="H43" s="265"/>
      <c r="I43" s="265" t="s">
        <v>303</v>
      </c>
      <c r="J43" s="265"/>
      <c r="K43" s="263"/>
      <c r="L43" s="263"/>
      <c r="M43" s="263"/>
      <c r="N43" s="263"/>
    </row>
    <row r="44" spans="1:14" ht="30" x14ac:dyDescent="0.25">
      <c r="A44" s="423"/>
      <c r="B44" s="240" t="s">
        <v>355</v>
      </c>
      <c r="C44" s="381" t="s">
        <v>356</v>
      </c>
      <c r="D44" s="383"/>
      <c r="E44" s="381" t="s">
        <v>357</v>
      </c>
      <c r="F44" s="382"/>
      <c r="G44" s="382"/>
      <c r="H44" s="383"/>
      <c r="I44" s="381" t="s">
        <v>358</v>
      </c>
      <c r="J44" s="383"/>
      <c r="K44" s="263"/>
      <c r="L44" s="263"/>
      <c r="M44" s="263"/>
      <c r="N44" s="263"/>
    </row>
    <row r="45" spans="1:14" ht="20.100000000000001" customHeight="1" x14ac:dyDescent="0.25">
      <c r="A45" s="423"/>
      <c r="B45" s="241" t="s">
        <v>309</v>
      </c>
      <c r="C45" s="384" t="s">
        <v>297</v>
      </c>
      <c r="D45" s="385"/>
      <c r="E45" s="384" t="s">
        <v>299</v>
      </c>
      <c r="F45" s="386"/>
      <c r="G45" s="386"/>
      <c r="H45" s="385"/>
      <c r="I45" s="384" t="s">
        <v>299</v>
      </c>
      <c r="J45" s="385"/>
      <c r="K45" s="263"/>
      <c r="L45" s="263"/>
      <c r="M45" s="263"/>
      <c r="N45" s="263"/>
    </row>
    <row r="46" spans="1:14" ht="20.100000000000001" customHeight="1" x14ac:dyDescent="0.25">
      <c r="A46" s="423"/>
      <c r="B46" s="240" t="s">
        <v>310</v>
      </c>
      <c r="C46" s="381" t="s">
        <v>359</v>
      </c>
      <c r="D46" s="382"/>
      <c r="E46" s="382"/>
      <c r="F46" s="382"/>
      <c r="G46" s="382"/>
      <c r="H46" s="382"/>
      <c r="I46" s="382"/>
      <c r="J46" s="383"/>
      <c r="K46" s="263"/>
      <c r="L46" s="263"/>
      <c r="M46" s="263"/>
      <c r="N46" s="263"/>
    </row>
    <row r="47" spans="1:14" ht="20.100000000000001" customHeight="1" x14ac:dyDescent="0.25">
      <c r="A47" s="423"/>
      <c r="B47" s="241" t="s">
        <v>313</v>
      </c>
      <c r="C47" s="384" t="s">
        <v>314</v>
      </c>
      <c r="D47" s="385"/>
      <c r="E47" s="384" t="s">
        <v>360</v>
      </c>
      <c r="F47" s="386"/>
      <c r="G47" s="386"/>
      <c r="H47" s="385"/>
      <c r="I47" s="384" t="s">
        <v>314</v>
      </c>
      <c r="J47" s="385"/>
      <c r="K47" s="263"/>
      <c r="L47" s="263"/>
      <c r="M47" s="263"/>
      <c r="N47" s="263"/>
    </row>
    <row r="48" spans="1:14" ht="20.100000000000001" customHeight="1" x14ac:dyDescent="0.25">
      <c r="A48" s="423"/>
      <c r="B48" s="240" t="s">
        <v>315</v>
      </c>
      <c r="C48" s="381" t="s">
        <v>316</v>
      </c>
      <c r="D48" s="382"/>
      <c r="E48" s="382"/>
      <c r="F48" s="382"/>
      <c r="G48" s="382"/>
      <c r="H48" s="382"/>
      <c r="I48" s="382"/>
      <c r="J48" s="383"/>
      <c r="K48" s="263"/>
      <c r="L48" s="263"/>
      <c r="M48" s="263"/>
      <c r="N48" s="263"/>
    </row>
    <row r="49" spans="1:14" ht="20.100000000000001" customHeight="1" x14ac:dyDescent="0.25">
      <c r="A49" s="423"/>
      <c r="B49" s="241" t="s">
        <v>361</v>
      </c>
      <c r="C49" s="384" t="s">
        <v>362</v>
      </c>
      <c r="D49" s="385"/>
      <c r="E49" s="384" t="s">
        <v>362</v>
      </c>
      <c r="F49" s="386"/>
      <c r="G49" s="386"/>
      <c r="H49" s="385"/>
      <c r="I49" s="384" t="s">
        <v>362</v>
      </c>
      <c r="J49" s="385"/>
      <c r="K49" s="263"/>
      <c r="L49" s="263"/>
      <c r="M49" s="263"/>
      <c r="N49" s="263"/>
    </row>
    <row r="50" spans="1:14" ht="20.100000000000001" customHeight="1" x14ac:dyDescent="0.25">
      <c r="A50" s="423"/>
      <c r="B50" s="240" t="s">
        <v>317</v>
      </c>
      <c r="C50" s="381" t="s">
        <v>318</v>
      </c>
      <c r="D50" s="383"/>
      <c r="E50" s="381" t="s">
        <v>363</v>
      </c>
      <c r="F50" s="382"/>
      <c r="G50" s="382"/>
      <c r="H50" s="383"/>
      <c r="I50" s="381" t="s">
        <v>318</v>
      </c>
      <c r="J50" s="383"/>
      <c r="K50" s="263"/>
      <c r="L50" s="263"/>
      <c r="M50" s="263"/>
      <c r="N50" s="263"/>
    </row>
    <row r="51" spans="1:14" x14ac:dyDescent="0.25">
      <c r="A51" s="423"/>
      <c r="B51" s="241" t="s">
        <v>342</v>
      </c>
      <c r="C51" s="384" t="s">
        <v>343</v>
      </c>
      <c r="D51" s="385"/>
      <c r="E51" s="384" t="s">
        <v>364</v>
      </c>
      <c r="F51" s="386"/>
      <c r="G51" s="386"/>
      <c r="H51" s="385"/>
      <c r="I51" s="435"/>
      <c r="J51" s="436"/>
      <c r="K51" s="263"/>
      <c r="L51" s="263"/>
      <c r="M51" s="263"/>
      <c r="N51" s="263"/>
    </row>
    <row r="52" spans="1:14" ht="20.100000000000001" customHeight="1" x14ac:dyDescent="0.25">
      <c r="A52" s="423"/>
      <c r="B52" s="240" t="s">
        <v>365</v>
      </c>
      <c r="C52" s="381" t="s">
        <v>366</v>
      </c>
      <c r="D52" s="382"/>
      <c r="E52" s="382"/>
      <c r="F52" s="382"/>
      <c r="G52" s="382"/>
      <c r="H52" s="383"/>
      <c r="I52" s="437"/>
      <c r="J52" s="438"/>
      <c r="K52" s="263"/>
      <c r="L52" s="263"/>
      <c r="M52" s="263"/>
      <c r="N52" s="263"/>
    </row>
    <row r="53" spans="1:14" ht="20.100000000000001" customHeight="1" x14ac:dyDescent="0.25">
      <c r="A53" s="423"/>
      <c r="B53" s="241" t="s">
        <v>367</v>
      </c>
      <c r="C53" s="384" t="s">
        <v>368</v>
      </c>
      <c r="D53" s="385"/>
      <c r="E53" s="384" t="s">
        <v>368</v>
      </c>
      <c r="F53" s="386"/>
      <c r="G53" s="386"/>
      <c r="H53" s="385"/>
      <c r="I53" s="437"/>
      <c r="J53" s="438"/>
      <c r="K53" s="263"/>
      <c r="L53" s="263"/>
      <c r="M53" s="263"/>
      <c r="N53" s="263"/>
    </row>
    <row r="54" spans="1:14" ht="20.100000000000001" customHeight="1" x14ac:dyDescent="0.25">
      <c r="A54" s="423"/>
      <c r="B54" s="240" t="s">
        <v>369</v>
      </c>
      <c r="C54" s="381" t="s">
        <v>370</v>
      </c>
      <c r="D54" s="382"/>
      <c r="E54" s="382" t="s">
        <v>370</v>
      </c>
      <c r="F54" s="382"/>
      <c r="G54" s="382"/>
      <c r="H54" s="383"/>
      <c r="I54" s="437"/>
      <c r="J54" s="438"/>
      <c r="K54" s="263"/>
      <c r="L54" s="263"/>
      <c r="M54" s="263"/>
      <c r="N54" s="263"/>
    </row>
    <row r="55" spans="1:14" ht="20.100000000000001" customHeight="1" x14ac:dyDescent="0.25">
      <c r="A55" s="423"/>
      <c r="B55" s="241" t="s">
        <v>371</v>
      </c>
      <c r="C55" s="384" t="s">
        <v>368</v>
      </c>
      <c r="D55" s="386"/>
      <c r="E55" s="386" t="s">
        <v>368</v>
      </c>
      <c r="F55" s="386"/>
      <c r="G55" s="386"/>
      <c r="H55" s="385"/>
      <c r="I55" s="437"/>
      <c r="J55" s="438"/>
      <c r="K55" s="263"/>
      <c r="L55" s="263"/>
      <c r="M55" s="263"/>
      <c r="N55" s="263"/>
    </row>
    <row r="56" spans="1:14" ht="20.100000000000001" customHeight="1" x14ac:dyDescent="0.25">
      <c r="A56" s="424"/>
      <c r="B56" s="240" t="s">
        <v>372</v>
      </c>
      <c r="C56" s="381" t="s">
        <v>373</v>
      </c>
      <c r="D56" s="383"/>
      <c r="E56" s="381" t="s">
        <v>373</v>
      </c>
      <c r="F56" s="382"/>
      <c r="G56" s="382"/>
      <c r="H56" s="383"/>
      <c r="I56" s="437"/>
      <c r="J56" s="438"/>
      <c r="K56" s="263"/>
      <c r="L56" s="263"/>
      <c r="M56" s="263"/>
      <c r="N56" s="263"/>
    </row>
  </sheetData>
  <sheetProtection password="CC3D" sheet="1" objects="1" scenarios="1" selectLockedCells="1"/>
  <mergeCells count="126">
    <mergeCell ref="I49:J49"/>
    <mergeCell ref="E44:H44"/>
    <mergeCell ref="I44:J44"/>
    <mergeCell ref="C45:D45"/>
    <mergeCell ref="E45:H45"/>
    <mergeCell ref="I45:J45"/>
    <mergeCell ref="C46:J46"/>
    <mergeCell ref="C36:J36"/>
    <mergeCell ref="C37:J37"/>
    <mergeCell ref="C1:D1"/>
    <mergeCell ref="E1:F1"/>
    <mergeCell ref="G1:H1"/>
    <mergeCell ref="I1:J1"/>
    <mergeCell ref="E2:J2"/>
    <mergeCell ref="E3:J3"/>
    <mergeCell ref="E4:J4"/>
    <mergeCell ref="E5:J5"/>
    <mergeCell ref="E6:J6"/>
    <mergeCell ref="C5:D5"/>
    <mergeCell ref="C6:D6"/>
    <mergeCell ref="A39:A56"/>
    <mergeCell ref="B39:B40"/>
    <mergeCell ref="C39:J39"/>
    <mergeCell ref="C40:D40"/>
    <mergeCell ref="E40:H40"/>
    <mergeCell ref="I40:J40"/>
    <mergeCell ref="C41:J41"/>
    <mergeCell ref="C44:D44"/>
    <mergeCell ref="C50:D50"/>
    <mergeCell ref="E50:H50"/>
    <mergeCell ref="I50:J50"/>
    <mergeCell ref="C51:D51"/>
    <mergeCell ref="E51:H51"/>
    <mergeCell ref="I51:J56"/>
    <mergeCell ref="C52:H52"/>
    <mergeCell ref="C54:H54"/>
    <mergeCell ref="C55:H55"/>
    <mergeCell ref="C47:D47"/>
    <mergeCell ref="E47:H47"/>
    <mergeCell ref="I47:J47"/>
    <mergeCell ref="C48:J48"/>
    <mergeCell ref="C49:D49"/>
    <mergeCell ref="E49:H49"/>
    <mergeCell ref="C56:D56"/>
    <mergeCell ref="A8:N8"/>
    <mergeCell ref="E13:F13"/>
    <mergeCell ref="K28:L28"/>
    <mergeCell ref="M28:N28"/>
    <mergeCell ref="C24:D24"/>
    <mergeCell ref="E24:J24"/>
    <mergeCell ref="K24:N24"/>
    <mergeCell ref="G16:J16"/>
    <mergeCell ref="I23:J23"/>
    <mergeCell ref="C23:D23"/>
    <mergeCell ref="E23:F23"/>
    <mergeCell ref="K23:N23"/>
    <mergeCell ref="A12:A20"/>
    <mergeCell ref="C12:D12"/>
    <mergeCell ref="E12:F12"/>
    <mergeCell ref="G12:J12"/>
    <mergeCell ref="K12:N12"/>
    <mergeCell ref="C13:D13"/>
    <mergeCell ref="G23:H23"/>
    <mergeCell ref="A2:A7"/>
    <mergeCell ref="C2:D2"/>
    <mergeCell ref="C3:D3"/>
    <mergeCell ref="C4:D4"/>
    <mergeCell ref="C33:N33"/>
    <mergeCell ref="C34:F34"/>
    <mergeCell ref="G34:H34"/>
    <mergeCell ref="I34:J34"/>
    <mergeCell ref="K34:N34"/>
    <mergeCell ref="E7:J7"/>
    <mergeCell ref="C7:D7"/>
    <mergeCell ref="A25:A37"/>
    <mergeCell ref="C25:J25"/>
    <mergeCell ref="K25:N25"/>
    <mergeCell ref="C26:D26"/>
    <mergeCell ref="E26:F26"/>
    <mergeCell ref="G26:H26"/>
    <mergeCell ref="I26:J26"/>
    <mergeCell ref="C19:N19"/>
    <mergeCell ref="C20:J20"/>
    <mergeCell ref="K20:N20"/>
    <mergeCell ref="A21:A24"/>
    <mergeCell ref="C21:N21"/>
    <mergeCell ref="C22:N22"/>
    <mergeCell ref="K37:N37"/>
    <mergeCell ref="A9:B11"/>
    <mergeCell ref="C9:J9"/>
    <mergeCell ref="K9:N9"/>
    <mergeCell ref="C10:D10"/>
    <mergeCell ref="E10:F10"/>
    <mergeCell ref="G10:H10"/>
    <mergeCell ref="I10:J10"/>
    <mergeCell ref="K10:L10"/>
    <mergeCell ref="M10:N10"/>
    <mergeCell ref="K35:N35"/>
    <mergeCell ref="E31:F31"/>
    <mergeCell ref="G31:H31"/>
    <mergeCell ref="K32:L32"/>
    <mergeCell ref="M32:N32"/>
    <mergeCell ref="E56:H56"/>
    <mergeCell ref="C53:D53"/>
    <mergeCell ref="E53:H53"/>
    <mergeCell ref="G13:J13"/>
    <mergeCell ref="K13:N13"/>
    <mergeCell ref="C14:D14"/>
    <mergeCell ref="C17:D17"/>
    <mergeCell ref="E17:F17"/>
    <mergeCell ref="G17:J17"/>
    <mergeCell ref="K17:N17"/>
    <mergeCell ref="C18:D18"/>
    <mergeCell ref="E18:F18"/>
    <mergeCell ref="G18:J18"/>
    <mergeCell ref="K18:N18"/>
    <mergeCell ref="E14:F14"/>
    <mergeCell ref="G14:J14"/>
    <mergeCell ref="K14:N14"/>
    <mergeCell ref="C15:J15"/>
    <mergeCell ref="K15:N15"/>
    <mergeCell ref="C16:D16"/>
    <mergeCell ref="E16:F16"/>
    <mergeCell ref="K16:N16"/>
    <mergeCell ref="C35:H35"/>
    <mergeCell ref="I35:J35"/>
  </mergeCells>
  <pageMargins left="0.62992125984251968" right="0.70866141732283472" top="0.74803149606299213" bottom="0.74803149606299213" header="0.31496062992125984" footer="0.31496062992125984"/>
  <pageSetup paperSize="9" scale="46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sqref="A1:XFD1"/>
    </sheetView>
  </sheetViews>
  <sheetFormatPr defaultRowHeight="15" x14ac:dyDescent="0.25"/>
  <cols>
    <col min="2" max="2" width="10" bestFit="1" customWidth="1"/>
  </cols>
  <sheetData>
    <row r="1" spans="1:2" x14ac:dyDescent="0.25">
      <c r="A1">
        <v>54.7</v>
      </c>
      <c r="B1">
        <v>1289</v>
      </c>
    </row>
    <row r="2" spans="1:2" x14ac:dyDescent="0.25">
      <c r="A2">
        <v>54.8</v>
      </c>
      <c r="B2">
        <v>1285</v>
      </c>
    </row>
    <row r="3" spans="1:2" x14ac:dyDescent="0.25">
      <c r="A3">
        <v>54.9</v>
      </c>
      <c r="B3">
        <v>1281</v>
      </c>
    </row>
    <row r="4" spans="1:2" x14ac:dyDescent="0.25">
      <c r="A4">
        <v>55</v>
      </c>
      <c r="B4">
        <v>1276</v>
      </c>
    </row>
    <row r="5" spans="1:2" x14ac:dyDescent="0.25">
      <c r="A5">
        <v>55.1</v>
      </c>
      <c r="B5">
        <v>1272</v>
      </c>
    </row>
    <row r="6" spans="1:2" x14ac:dyDescent="0.25">
      <c r="A6">
        <v>55.2</v>
      </c>
      <c r="B6">
        <v>1268</v>
      </c>
    </row>
    <row r="7" spans="1:2" x14ac:dyDescent="0.25">
      <c r="A7">
        <v>55.3</v>
      </c>
      <c r="B7">
        <v>1263</v>
      </c>
    </row>
    <row r="8" spans="1:2" x14ac:dyDescent="0.25">
      <c r="A8">
        <v>55.4</v>
      </c>
      <c r="B8">
        <v>1259</v>
      </c>
    </row>
    <row r="9" spans="1:2" x14ac:dyDescent="0.25">
      <c r="A9">
        <v>55.5</v>
      </c>
      <c r="B9">
        <v>1254</v>
      </c>
    </row>
    <row r="10" spans="1:2" x14ac:dyDescent="0.25">
      <c r="A10">
        <v>55.6</v>
      </c>
      <c r="B10">
        <v>1250</v>
      </c>
    </row>
    <row r="11" spans="1:2" x14ac:dyDescent="0.25">
      <c r="A11">
        <v>55.699999999999903</v>
      </c>
      <c r="B11">
        <v>1246</v>
      </c>
    </row>
    <row r="12" spans="1:2" x14ac:dyDescent="0.25">
      <c r="A12">
        <v>55.799999999999898</v>
      </c>
      <c r="B12">
        <v>1243</v>
      </c>
    </row>
    <row r="13" spans="1:2" x14ac:dyDescent="0.25">
      <c r="A13">
        <v>55.899999999999899</v>
      </c>
      <c r="B13">
        <v>1239</v>
      </c>
    </row>
    <row r="14" spans="1:2" x14ac:dyDescent="0.25">
      <c r="A14">
        <v>55.999999999999901</v>
      </c>
      <c r="B14">
        <v>1235</v>
      </c>
    </row>
    <row r="15" spans="1:2" x14ac:dyDescent="0.25">
      <c r="A15">
        <v>56.099999999999902</v>
      </c>
      <c r="B15">
        <v>1231</v>
      </c>
    </row>
    <row r="16" spans="1:2" x14ac:dyDescent="0.25">
      <c r="A16">
        <v>56.199999999999903</v>
      </c>
      <c r="B16">
        <v>1228</v>
      </c>
    </row>
    <row r="17" spans="1:2" x14ac:dyDescent="0.25">
      <c r="A17">
        <v>56.299999999999898</v>
      </c>
      <c r="B17">
        <v>1224</v>
      </c>
    </row>
    <row r="18" spans="1:2" x14ac:dyDescent="0.25">
      <c r="A18">
        <v>56.399999999999899</v>
      </c>
      <c r="B18">
        <v>1220</v>
      </c>
    </row>
    <row r="19" spans="1:2" x14ac:dyDescent="0.25">
      <c r="A19">
        <v>56.499999999999901</v>
      </c>
      <c r="B19">
        <v>1216</v>
      </c>
    </row>
    <row r="20" spans="1:2" x14ac:dyDescent="0.25">
      <c r="A20">
        <v>56.599999999999902</v>
      </c>
      <c r="B20">
        <v>1213</v>
      </c>
    </row>
    <row r="21" spans="1:2" x14ac:dyDescent="0.25">
      <c r="A21">
        <v>56.699999999999903</v>
      </c>
      <c r="B21">
        <v>1209</v>
      </c>
    </row>
    <row r="22" spans="1:2" x14ac:dyDescent="0.25">
      <c r="A22">
        <v>56.799999999999898</v>
      </c>
      <c r="B22">
        <v>1205</v>
      </c>
    </row>
    <row r="23" spans="1:2" x14ac:dyDescent="0.25">
      <c r="A23">
        <v>56.899999999999899</v>
      </c>
      <c r="B23">
        <v>1201</v>
      </c>
    </row>
    <row r="24" spans="1:2" x14ac:dyDescent="0.25">
      <c r="A24">
        <v>56.999999999999901</v>
      </c>
      <c r="B24">
        <v>1198</v>
      </c>
    </row>
    <row r="25" spans="1:2" x14ac:dyDescent="0.25">
      <c r="A25">
        <v>57.099999999999902</v>
      </c>
      <c r="B25">
        <v>1194</v>
      </c>
    </row>
    <row r="26" spans="1:2" x14ac:dyDescent="0.25">
      <c r="A26">
        <v>57.199999999999903</v>
      </c>
      <c r="B26">
        <v>1190</v>
      </c>
    </row>
    <row r="27" spans="1:2" x14ac:dyDescent="0.25">
      <c r="A27">
        <v>57.299999999999898</v>
      </c>
      <c r="B27">
        <v>1187</v>
      </c>
    </row>
    <row r="28" spans="1:2" x14ac:dyDescent="0.25">
      <c r="A28">
        <v>57.3999999999998</v>
      </c>
      <c r="B28">
        <v>1184</v>
      </c>
    </row>
    <row r="29" spans="1:2" x14ac:dyDescent="0.25">
      <c r="A29">
        <v>57.499999999999801</v>
      </c>
      <c r="B29">
        <v>1181</v>
      </c>
    </row>
    <row r="30" spans="1:2" x14ac:dyDescent="0.25">
      <c r="A30">
        <v>57.599999999999802</v>
      </c>
      <c r="B30">
        <v>1178</v>
      </c>
    </row>
    <row r="31" spans="1:2" x14ac:dyDescent="0.25">
      <c r="A31">
        <v>57.699999999999797</v>
      </c>
      <c r="B31">
        <v>1174</v>
      </c>
    </row>
    <row r="32" spans="1:2" x14ac:dyDescent="0.25">
      <c r="A32">
        <v>57.799999999999798</v>
      </c>
      <c r="B32">
        <v>1171</v>
      </c>
    </row>
    <row r="33" spans="1:2" x14ac:dyDescent="0.25">
      <c r="A33">
        <v>57.8999999999998</v>
      </c>
      <c r="B33">
        <v>1168</v>
      </c>
    </row>
    <row r="34" spans="1:2" x14ac:dyDescent="0.25">
      <c r="A34">
        <v>57.999999999999801</v>
      </c>
      <c r="B34">
        <f>(B33+B35)/2</f>
        <v>1165</v>
      </c>
    </row>
    <row r="35" spans="1:2" x14ac:dyDescent="0.25">
      <c r="A35">
        <v>58.099999999999802</v>
      </c>
      <c r="B35">
        <v>1162</v>
      </c>
    </row>
    <row r="36" spans="1:2" x14ac:dyDescent="0.25">
      <c r="A36">
        <v>58.199999999999797</v>
      </c>
      <c r="B36">
        <v>1159</v>
      </c>
    </row>
    <row r="37" spans="1:2" x14ac:dyDescent="0.25">
      <c r="A37">
        <v>58.299999999999798</v>
      </c>
      <c r="B37">
        <v>1156</v>
      </c>
    </row>
    <row r="38" spans="1:2" x14ac:dyDescent="0.25">
      <c r="A38">
        <v>58.3999999999998</v>
      </c>
      <c r="B38">
        <v>1153</v>
      </c>
    </row>
    <row r="39" spans="1:2" x14ac:dyDescent="0.25">
      <c r="A39">
        <v>58.499999999999801</v>
      </c>
      <c r="B39">
        <v>1149</v>
      </c>
    </row>
    <row r="40" spans="1:2" x14ac:dyDescent="0.25">
      <c r="A40">
        <v>58.599999999999802</v>
      </c>
      <c r="B40">
        <v>1146</v>
      </c>
    </row>
    <row r="41" spans="1:2" x14ac:dyDescent="0.25">
      <c r="A41">
        <v>58.699999999999797</v>
      </c>
      <c r="B41">
        <v>1143</v>
      </c>
    </row>
    <row r="42" spans="1:2" x14ac:dyDescent="0.25">
      <c r="A42">
        <v>58.799999999999798</v>
      </c>
      <c r="B42">
        <v>1137</v>
      </c>
    </row>
    <row r="43" spans="1:2" x14ac:dyDescent="0.25">
      <c r="A43">
        <v>58.8999999999998</v>
      </c>
      <c r="B43">
        <v>1134</v>
      </c>
    </row>
    <row r="44" spans="1:2" x14ac:dyDescent="0.25">
      <c r="A44">
        <v>58.999999999999801</v>
      </c>
      <c r="B44">
        <v>1131</v>
      </c>
    </row>
    <row r="45" spans="1:2" x14ac:dyDescent="0.25">
      <c r="A45">
        <v>59.099999999999802</v>
      </c>
      <c r="B45">
        <v>1128</v>
      </c>
    </row>
    <row r="46" spans="1:2" x14ac:dyDescent="0.25">
      <c r="A46">
        <v>59.199999999999697</v>
      </c>
      <c r="B46">
        <v>1124</v>
      </c>
    </row>
    <row r="47" spans="1:2" x14ac:dyDescent="0.25">
      <c r="A47">
        <v>59.299999999999699</v>
      </c>
      <c r="B47">
        <v>1121</v>
      </c>
    </row>
    <row r="48" spans="1:2" x14ac:dyDescent="0.25">
      <c r="A48">
        <v>59.3999999999997</v>
      </c>
      <c r="B48">
        <v>1118</v>
      </c>
    </row>
    <row r="49" spans="1:2" x14ac:dyDescent="0.25">
      <c r="A49">
        <v>59.499999999999702</v>
      </c>
      <c r="B49">
        <v>1115</v>
      </c>
    </row>
    <row r="50" spans="1:2" x14ac:dyDescent="0.25">
      <c r="A50">
        <v>59.599999999999703</v>
      </c>
      <c r="B50">
        <v>1112</v>
      </c>
    </row>
    <row r="51" spans="1:2" x14ac:dyDescent="0.25">
      <c r="A51">
        <v>59.699999999999697</v>
      </c>
      <c r="B51">
        <v>1109</v>
      </c>
    </row>
    <row r="52" spans="1:2" x14ac:dyDescent="0.25">
      <c r="A52">
        <v>59.799999999999699</v>
      </c>
      <c r="B52">
        <v>1106</v>
      </c>
    </row>
    <row r="53" spans="1:2" x14ac:dyDescent="0.25">
      <c r="A53">
        <v>59.8999999999997</v>
      </c>
      <c r="B53">
        <v>1103</v>
      </c>
    </row>
    <row r="54" spans="1:2" x14ac:dyDescent="0.25">
      <c r="A54">
        <v>59.999999999999702</v>
      </c>
      <c r="B54">
        <v>1099</v>
      </c>
    </row>
    <row r="55" spans="1:2" x14ac:dyDescent="0.25">
      <c r="A55">
        <v>60.099999999999703</v>
      </c>
      <c r="B55">
        <v>1096</v>
      </c>
    </row>
    <row r="56" spans="1:2" x14ac:dyDescent="0.25">
      <c r="A56">
        <v>60.199999999999697</v>
      </c>
      <c r="B56">
        <v>1093</v>
      </c>
    </row>
    <row r="57" spans="1:2" x14ac:dyDescent="0.25">
      <c r="A57">
        <v>60.299999999999699</v>
      </c>
      <c r="B57">
        <v>1090</v>
      </c>
    </row>
    <row r="58" spans="1:2" x14ac:dyDescent="0.25">
      <c r="A58">
        <v>60.3999999999997</v>
      </c>
      <c r="B58">
        <v>1087</v>
      </c>
    </row>
    <row r="59" spans="1:2" x14ac:dyDescent="0.25">
      <c r="A59">
        <v>60.499999999999702</v>
      </c>
      <c r="B59">
        <v>1084</v>
      </c>
    </row>
    <row r="60" spans="1:2" x14ac:dyDescent="0.25">
      <c r="A60">
        <v>60.599999999999703</v>
      </c>
      <c r="B60">
        <v>1081</v>
      </c>
    </row>
    <row r="61" spans="1:2" x14ac:dyDescent="0.25">
      <c r="A61">
        <v>60.699999999999697</v>
      </c>
      <c r="B61">
        <v>1078</v>
      </c>
    </row>
    <row r="62" spans="1:2" x14ac:dyDescent="0.25">
      <c r="A62">
        <v>60.799999999999699</v>
      </c>
      <c r="B62">
        <v>1074</v>
      </c>
    </row>
    <row r="63" spans="1:2" x14ac:dyDescent="0.25">
      <c r="A63">
        <v>60.8999999999997</v>
      </c>
      <c r="B63">
        <v>1071</v>
      </c>
    </row>
    <row r="64" spans="1:2" x14ac:dyDescent="0.25">
      <c r="A64">
        <v>60.999999999999602</v>
      </c>
      <c r="B64">
        <v>1068</v>
      </c>
    </row>
    <row r="65" spans="1:2" x14ac:dyDescent="0.25">
      <c r="A65">
        <v>61.099999999999604</v>
      </c>
      <c r="B65">
        <v>1065</v>
      </c>
    </row>
    <row r="66" spans="1:2" x14ac:dyDescent="0.25">
      <c r="A66">
        <v>61.199999999999598</v>
      </c>
      <c r="B66">
        <v>1062</v>
      </c>
    </row>
    <row r="67" spans="1:2" x14ac:dyDescent="0.25">
      <c r="A67">
        <v>61.299999999999599</v>
      </c>
      <c r="B67">
        <v>1059</v>
      </c>
    </row>
    <row r="68" spans="1:2" x14ac:dyDescent="0.25">
      <c r="A68">
        <v>61.399999999999601</v>
      </c>
      <c r="B68">
        <f>(B67+B69)/2</f>
        <v>1056</v>
      </c>
    </row>
    <row r="69" spans="1:2" x14ac:dyDescent="0.25">
      <c r="A69">
        <v>61.499999999999602</v>
      </c>
      <c r="B69">
        <v>1053</v>
      </c>
    </row>
    <row r="70" spans="1:2" x14ac:dyDescent="0.25">
      <c r="A70">
        <v>61.599999999999604</v>
      </c>
      <c r="B70">
        <v>1049</v>
      </c>
    </row>
    <row r="71" spans="1:2" x14ac:dyDescent="0.25">
      <c r="A71">
        <v>61.699999999999598</v>
      </c>
      <c r="B71">
        <v>1046</v>
      </c>
    </row>
    <row r="72" spans="1:2" x14ac:dyDescent="0.25">
      <c r="A72">
        <v>61.799999999999599</v>
      </c>
      <c r="B72">
        <v>1043</v>
      </c>
    </row>
    <row r="73" spans="1:2" x14ac:dyDescent="0.25">
      <c r="A73">
        <v>61.899999999999601</v>
      </c>
      <c r="B73">
        <v>1040</v>
      </c>
    </row>
    <row r="74" spans="1:2" x14ac:dyDescent="0.25">
      <c r="A74">
        <v>61.999999999999602</v>
      </c>
      <c r="B74">
        <v>1038</v>
      </c>
    </row>
    <row r="75" spans="1:2" x14ac:dyDescent="0.25">
      <c r="A75">
        <v>62.099999999999604</v>
      </c>
      <c r="B75">
        <v>1035</v>
      </c>
    </row>
    <row r="76" spans="1:2" x14ac:dyDescent="0.25">
      <c r="A76">
        <v>62.199999999999598</v>
      </c>
      <c r="B76">
        <v>1033</v>
      </c>
    </row>
    <row r="77" spans="1:2" x14ac:dyDescent="0.25">
      <c r="A77">
        <v>62.299999999999599</v>
      </c>
      <c r="B77">
        <v>1030</v>
      </c>
    </row>
    <row r="78" spans="1:2" x14ac:dyDescent="0.25">
      <c r="A78">
        <v>62.399999999999601</v>
      </c>
      <c r="B78">
        <v>1028</v>
      </c>
    </row>
    <row r="79" spans="1:2" x14ac:dyDescent="0.25">
      <c r="A79">
        <v>62.499999999999602</v>
      </c>
      <c r="B79">
        <v>1025</v>
      </c>
    </row>
    <row r="80" spans="1:2" x14ac:dyDescent="0.25">
      <c r="A80">
        <v>62.599999999999604</v>
      </c>
      <c r="B80">
        <v>1023</v>
      </c>
    </row>
    <row r="81" spans="1:2" x14ac:dyDescent="0.25">
      <c r="A81">
        <v>62.699999999999598</v>
      </c>
      <c r="B81">
        <v>1020</v>
      </c>
    </row>
    <row r="82" spans="1:2" x14ac:dyDescent="0.25">
      <c r="A82">
        <v>62.7999999999995</v>
      </c>
      <c r="B82">
        <v>1018</v>
      </c>
    </row>
    <row r="83" spans="1:2" x14ac:dyDescent="0.25">
      <c r="A83">
        <v>62.899999999999501</v>
      </c>
      <c r="B83">
        <v>1015</v>
      </c>
    </row>
    <row r="84" spans="1:2" x14ac:dyDescent="0.25">
      <c r="A84">
        <v>62.999999999999503</v>
      </c>
      <c r="B84">
        <v>1013</v>
      </c>
    </row>
    <row r="85" spans="1:2" x14ac:dyDescent="0.25">
      <c r="A85">
        <v>63.099999999999497</v>
      </c>
      <c r="B85">
        <v>1010</v>
      </c>
    </row>
    <row r="86" spans="1:2" x14ac:dyDescent="0.25">
      <c r="A86">
        <v>63.199999999999498</v>
      </c>
      <c r="B86">
        <v>1008</v>
      </c>
    </row>
    <row r="87" spans="1:2" x14ac:dyDescent="0.25">
      <c r="A87">
        <v>63.2999999999995</v>
      </c>
      <c r="B87">
        <v>1005</v>
      </c>
    </row>
    <row r="88" spans="1:2" x14ac:dyDescent="0.25">
      <c r="A88">
        <v>63.399999999999501</v>
      </c>
      <c r="B88">
        <v>1003</v>
      </c>
    </row>
    <row r="89" spans="1:2" x14ac:dyDescent="0.25">
      <c r="A89">
        <v>63.499999999999503</v>
      </c>
      <c r="B89">
        <v>1000</v>
      </c>
    </row>
    <row r="90" spans="1:2" x14ac:dyDescent="0.25">
      <c r="A90">
        <v>63.599999999999497</v>
      </c>
      <c r="B90">
        <v>998</v>
      </c>
    </row>
    <row r="91" spans="1:2" x14ac:dyDescent="0.25">
      <c r="A91">
        <v>63.699999999999498</v>
      </c>
      <c r="B91">
        <v>995</v>
      </c>
    </row>
    <row r="92" spans="1:2" x14ac:dyDescent="0.25">
      <c r="A92">
        <v>63.7999999999995</v>
      </c>
      <c r="B92">
        <v>993</v>
      </c>
    </row>
    <row r="93" spans="1:2" x14ac:dyDescent="0.25">
      <c r="A93">
        <v>63.899999999999501</v>
      </c>
      <c r="B93">
        <v>990</v>
      </c>
    </row>
    <row r="94" spans="1:2" x14ac:dyDescent="0.25">
      <c r="A94">
        <v>63.999999999999503</v>
      </c>
      <c r="B94">
        <v>988</v>
      </c>
    </row>
    <row r="95" spans="1:2" x14ac:dyDescent="0.25">
      <c r="A95">
        <v>64.099999999999497</v>
      </c>
      <c r="B95">
        <v>985</v>
      </c>
    </row>
    <row r="96" spans="1:2" x14ac:dyDescent="0.25">
      <c r="A96">
        <v>64.199999999999505</v>
      </c>
      <c r="B96">
        <v>983</v>
      </c>
    </row>
    <row r="97" spans="1:2" x14ac:dyDescent="0.25">
      <c r="A97">
        <v>64.2999999999995</v>
      </c>
      <c r="B97">
        <v>980</v>
      </c>
    </row>
    <row r="98" spans="1:2" x14ac:dyDescent="0.25">
      <c r="A98">
        <v>64.399999999999494</v>
      </c>
      <c r="B98">
        <v>978</v>
      </c>
    </row>
    <row r="99" spans="1:2" x14ac:dyDescent="0.25">
      <c r="A99">
        <v>64.499999999999403</v>
      </c>
      <c r="B99">
        <v>975</v>
      </c>
    </row>
    <row r="100" spans="1:2" x14ac:dyDescent="0.25">
      <c r="A100">
        <v>64.599999999999397</v>
      </c>
      <c r="B100">
        <v>973</v>
      </c>
    </row>
    <row r="101" spans="1:2" x14ac:dyDescent="0.25">
      <c r="A101">
        <v>64.699999999999406</v>
      </c>
      <c r="B101">
        <v>970</v>
      </c>
    </row>
    <row r="102" spans="1:2" x14ac:dyDescent="0.25">
      <c r="A102">
        <v>64.7999999999994</v>
      </c>
      <c r="B102">
        <v>697</v>
      </c>
    </row>
    <row r="103" spans="1:2" x14ac:dyDescent="0.25">
      <c r="A103">
        <v>64.899999999999395</v>
      </c>
      <c r="B103">
        <v>695</v>
      </c>
    </row>
    <row r="104" spans="1:2" x14ac:dyDescent="0.25">
      <c r="A104">
        <v>64.999999999999403</v>
      </c>
      <c r="B104">
        <v>963</v>
      </c>
    </row>
    <row r="105" spans="1:2" x14ac:dyDescent="0.25">
      <c r="A105">
        <v>65.099999999999397</v>
      </c>
      <c r="B105">
        <v>960</v>
      </c>
    </row>
    <row r="106" spans="1:2" x14ac:dyDescent="0.25">
      <c r="A106">
        <v>65.199999999999406</v>
      </c>
      <c r="B106">
        <v>958</v>
      </c>
    </row>
    <row r="107" spans="1:2" x14ac:dyDescent="0.25">
      <c r="A107">
        <v>65.2999999999994</v>
      </c>
      <c r="B107">
        <v>956</v>
      </c>
    </row>
    <row r="108" spans="1:2" x14ac:dyDescent="0.25">
      <c r="A108">
        <v>65.399999999999395</v>
      </c>
      <c r="B108">
        <v>954</v>
      </c>
    </row>
    <row r="109" spans="1:2" x14ac:dyDescent="0.25">
      <c r="A109">
        <v>65.499999999999403</v>
      </c>
      <c r="B109">
        <v>953</v>
      </c>
    </row>
    <row r="110" spans="1:2" x14ac:dyDescent="0.25">
      <c r="A110">
        <v>65.599999999999397</v>
      </c>
      <c r="B110">
        <v>951</v>
      </c>
    </row>
    <row r="111" spans="1:2" x14ac:dyDescent="0.25">
      <c r="A111">
        <v>65.699999999999406</v>
      </c>
      <c r="B111">
        <v>949</v>
      </c>
    </row>
    <row r="112" spans="1:2" x14ac:dyDescent="0.25">
      <c r="A112">
        <v>65.7999999999994</v>
      </c>
      <c r="B112">
        <v>947</v>
      </c>
    </row>
    <row r="113" spans="1:2" x14ac:dyDescent="0.25">
      <c r="A113">
        <v>65.899999999999395</v>
      </c>
      <c r="B113">
        <v>945</v>
      </c>
    </row>
    <row r="114" spans="1:2" x14ac:dyDescent="0.25">
      <c r="A114">
        <v>65.999999999999403</v>
      </c>
      <c r="B114">
        <v>943</v>
      </c>
    </row>
    <row r="115" spans="1:2" x14ac:dyDescent="0.25">
      <c r="A115">
        <v>66.099999999999397</v>
      </c>
      <c r="B115">
        <v>941</v>
      </c>
    </row>
    <row r="116" spans="1:2" x14ac:dyDescent="0.25">
      <c r="A116">
        <v>66.199999999999307</v>
      </c>
      <c r="B116">
        <v>939</v>
      </c>
    </row>
    <row r="117" spans="1:2" x14ac:dyDescent="0.25">
      <c r="A117">
        <v>66.299999999999301</v>
      </c>
      <c r="B117">
        <v>938</v>
      </c>
    </row>
    <row r="118" spans="1:2" x14ac:dyDescent="0.25">
      <c r="A118">
        <v>66.399999999999295</v>
      </c>
      <c r="B118">
        <v>936</v>
      </c>
    </row>
    <row r="119" spans="1:2" x14ac:dyDescent="0.25">
      <c r="A119">
        <v>66.499999999999304</v>
      </c>
      <c r="B119">
        <v>934</v>
      </c>
    </row>
    <row r="120" spans="1:2" x14ac:dyDescent="0.25">
      <c r="A120">
        <v>66.599999999999298</v>
      </c>
      <c r="B120">
        <v>932</v>
      </c>
    </row>
    <row r="121" spans="1:2" x14ac:dyDescent="0.25">
      <c r="A121">
        <v>66.699999999999307</v>
      </c>
      <c r="B121">
        <v>930</v>
      </c>
    </row>
    <row r="122" spans="1:2" x14ac:dyDescent="0.25">
      <c r="A122">
        <v>66.799999999999301</v>
      </c>
      <c r="B122">
        <v>928</v>
      </c>
    </row>
    <row r="123" spans="1:2" x14ac:dyDescent="0.25">
      <c r="A123">
        <v>66.899999999999295</v>
      </c>
      <c r="B123">
        <v>925</v>
      </c>
    </row>
    <row r="124" spans="1:2" x14ac:dyDescent="0.25">
      <c r="A124">
        <v>66.999999999999304</v>
      </c>
      <c r="B124">
        <v>923</v>
      </c>
    </row>
    <row r="125" spans="1:2" x14ac:dyDescent="0.25">
      <c r="A125">
        <v>67.099999999999298</v>
      </c>
      <c r="B125">
        <v>920</v>
      </c>
    </row>
    <row r="126" spans="1:2" x14ac:dyDescent="0.25">
      <c r="A126">
        <v>67.199999999999307</v>
      </c>
      <c r="B126">
        <v>918</v>
      </c>
    </row>
    <row r="127" spans="1:2" x14ac:dyDescent="0.25">
      <c r="A127">
        <v>67.299999999999301</v>
      </c>
      <c r="B127">
        <v>915</v>
      </c>
    </row>
    <row r="128" spans="1:2" x14ac:dyDescent="0.25">
      <c r="A128">
        <v>67.399999999999295</v>
      </c>
      <c r="B128">
        <v>913</v>
      </c>
    </row>
    <row r="129" spans="1:2" x14ac:dyDescent="0.25">
      <c r="A129">
        <v>67.499999999999304</v>
      </c>
      <c r="B129">
        <v>910</v>
      </c>
    </row>
    <row r="130" spans="1:2" x14ac:dyDescent="0.25">
      <c r="A130">
        <v>67.599999999999298</v>
      </c>
      <c r="B130">
        <v>908</v>
      </c>
    </row>
    <row r="131" spans="1:2" x14ac:dyDescent="0.25">
      <c r="A131">
        <v>67.699999999999307</v>
      </c>
      <c r="B131">
        <v>905</v>
      </c>
    </row>
    <row r="132" spans="1:2" x14ac:dyDescent="0.25">
      <c r="A132">
        <v>67.799999999999301</v>
      </c>
      <c r="B132">
        <v>903</v>
      </c>
    </row>
    <row r="133" spans="1:2" x14ac:dyDescent="0.25">
      <c r="A133">
        <v>67.899999999999196</v>
      </c>
      <c r="B133">
        <v>900</v>
      </c>
    </row>
    <row r="134" spans="1:2" x14ac:dyDescent="0.25">
      <c r="A134">
        <v>67.999999999999204</v>
      </c>
      <c r="B134">
        <v>898</v>
      </c>
    </row>
    <row r="135" spans="1:2" x14ac:dyDescent="0.25">
      <c r="A135">
        <v>68.099999999999199</v>
      </c>
      <c r="B135">
        <v>895</v>
      </c>
    </row>
    <row r="136" spans="1:2" x14ac:dyDescent="0.25">
      <c r="A136">
        <v>68.199999999999207</v>
      </c>
      <c r="B136">
        <v>892</v>
      </c>
    </row>
    <row r="137" spans="1:2" x14ac:dyDescent="0.25">
      <c r="A137">
        <v>68.299999999999201</v>
      </c>
      <c r="B137">
        <v>890</v>
      </c>
    </row>
    <row r="138" spans="1:2" x14ac:dyDescent="0.25">
      <c r="A138">
        <v>68.399999999999196</v>
      </c>
      <c r="B138">
        <v>888</v>
      </c>
    </row>
    <row r="139" spans="1:2" x14ac:dyDescent="0.25">
      <c r="A139">
        <v>68.499999999999204</v>
      </c>
      <c r="B139">
        <v>886</v>
      </c>
    </row>
    <row r="140" spans="1:2" x14ac:dyDescent="0.25">
      <c r="A140">
        <v>68.599999999999199</v>
      </c>
      <c r="B140">
        <v>884</v>
      </c>
    </row>
    <row r="141" spans="1:2" x14ac:dyDescent="0.25">
      <c r="A141">
        <v>68.699999999999207</v>
      </c>
      <c r="B141">
        <v>883</v>
      </c>
    </row>
    <row r="142" spans="1:2" x14ac:dyDescent="0.25">
      <c r="A142">
        <v>68.799999999999201</v>
      </c>
      <c r="B142">
        <v>881</v>
      </c>
    </row>
    <row r="143" spans="1:2" x14ac:dyDescent="0.25">
      <c r="A143">
        <v>68.899999999999196</v>
      </c>
      <c r="B143">
        <v>879</v>
      </c>
    </row>
    <row r="144" spans="1:2" x14ac:dyDescent="0.25">
      <c r="A144">
        <v>68.999999999999204</v>
      </c>
      <c r="B144">
        <v>877</v>
      </c>
    </row>
    <row r="145" spans="1:2" x14ac:dyDescent="0.25">
      <c r="A145">
        <v>69.099999999999199</v>
      </c>
      <c r="B145">
        <v>875</v>
      </c>
    </row>
    <row r="146" spans="1:2" x14ac:dyDescent="0.25">
      <c r="A146">
        <v>69.199999999999207</v>
      </c>
      <c r="B146">
        <v>873</v>
      </c>
    </row>
    <row r="147" spans="1:2" x14ac:dyDescent="0.25">
      <c r="A147">
        <v>69.299999999999201</v>
      </c>
      <c r="B147">
        <v>871</v>
      </c>
    </row>
    <row r="148" spans="1:2" x14ac:dyDescent="0.25">
      <c r="A148">
        <v>69.399999999999196</v>
      </c>
      <c r="B148">
        <v>869</v>
      </c>
    </row>
    <row r="149" spans="1:2" x14ac:dyDescent="0.25">
      <c r="A149">
        <v>69.499999999999204</v>
      </c>
      <c r="B149">
        <v>868</v>
      </c>
    </row>
    <row r="150" spans="1:2" x14ac:dyDescent="0.25">
      <c r="A150">
        <v>69.599999999999199</v>
      </c>
      <c r="B150">
        <v>866</v>
      </c>
    </row>
    <row r="151" spans="1:2" x14ac:dyDescent="0.25">
      <c r="A151">
        <v>69.699999999999093</v>
      </c>
      <c r="B151">
        <v>864</v>
      </c>
    </row>
    <row r="152" spans="1:2" x14ac:dyDescent="0.25">
      <c r="A152">
        <v>69.799999999999102</v>
      </c>
      <c r="B152">
        <v>862</v>
      </c>
    </row>
    <row r="153" spans="1:2" x14ac:dyDescent="0.25">
      <c r="A153">
        <v>69.899999999999096</v>
      </c>
      <c r="B153">
        <v>860</v>
      </c>
    </row>
    <row r="154" spans="1:2" x14ac:dyDescent="0.25">
      <c r="A154">
        <v>69.999999999999105</v>
      </c>
      <c r="B154">
        <v>858</v>
      </c>
    </row>
    <row r="155" spans="1:2" x14ac:dyDescent="0.25">
      <c r="A155">
        <v>70.099999999999099</v>
      </c>
      <c r="B155">
        <v>856</v>
      </c>
    </row>
    <row r="156" spans="1:2" x14ac:dyDescent="0.25">
      <c r="A156">
        <v>70.199999999999093</v>
      </c>
      <c r="B156">
        <v>854</v>
      </c>
    </row>
    <row r="157" spans="1:2" x14ac:dyDescent="0.25">
      <c r="A157">
        <v>70.299999999999102</v>
      </c>
      <c r="B157">
        <v>853</v>
      </c>
    </row>
    <row r="158" spans="1:2" x14ac:dyDescent="0.25">
      <c r="A158">
        <v>70.399999999999096</v>
      </c>
      <c r="B158">
        <v>851</v>
      </c>
    </row>
    <row r="159" spans="1:2" x14ac:dyDescent="0.25">
      <c r="A159">
        <v>70.499999999999105</v>
      </c>
      <c r="B159">
        <v>849</v>
      </c>
    </row>
    <row r="160" spans="1:2" x14ac:dyDescent="0.25">
      <c r="A160">
        <v>70.599999999999099</v>
      </c>
      <c r="B160">
        <v>847</v>
      </c>
    </row>
    <row r="161" spans="1:2" x14ac:dyDescent="0.25">
      <c r="A161">
        <v>70.699999999999093</v>
      </c>
      <c r="B161">
        <v>845</v>
      </c>
    </row>
    <row r="162" spans="1:2" x14ac:dyDescent="0.25">
      <c r="A162">
        <v>70.799999999999102</v>
      </c>
      <c r="B162">
        <v>843</v>
      </c>
    </row>
    <row r="163" spans="1:2" x14ac:dyDescent="0.25">
      <c r="A163">
        <v>70.899999999999096</v>
      </c>
      <c r="B163">
        <v>841</v>
      </c>
    </row>
    <row r="164" spans="1:2" x14ac:dyDescent="0.25">
      <c r="A164">
        <v>70.999999999999105</v>
      </c>
      <c r="B164">
        <v>839</v>
      </c>
    </row>
    <row r="165" spans="1:2" x14ac:dyDescent="0.25">
      <c r="A165">
        <v>71.099999999999099</v>
      </c>
      <c r="B165">
        <v>838</v>
      </c>
    </row>
    <row r="166" spans="1:2" x14ac:dyDescent="0.25">
      <c r="A166">
        <v>71.199999999999093</v>
      </c>
      <c r="B166">
        <v>836</v>
      </c>
    </row>
    <row r="167" spans="1:2" x14ac:dyDescent="0.25">
      <c r="A167">
        <v>71.299999999999102</v>
      </c>
      <c r="B167">
        <v>834</v>
      </c>
    </row>
    <row r="168" spans="1:2" x14ac:dyDescent="0.25">
      <c r="A168">
        <v>71.399999999999096</v>
      </c>
      <c r="B168">
        <v>832</v>
      </c>
    </row>
    <row r="169" spans="1:2" x14ac:dyDescent="0.25">
      <c r="A169">
        <v>71.499999999999005</v>
      </c>
      <c r="B169">
        <f>(B168+B170)/2</f>
        <v>830</v>
      </c>
    </row>
    <row r="170" spans="1:2" x14ac:dyDescent="0.25">
      <c r="A170">
        <v>71.599999999999</v>
      </c>
      <c r="B170">
        <v>828</v>
      </c>
    </row>
    <row r="171" spans="1:2" x14ac:dyDescent="0.25">
      <c r="A171">
        <v>71.699999999998994</v>
      </c>
      <c r="B171">
        <v>826</v>
      </c>
    </row>
    <row r="172" spans="1:2" x14ac:dyDescent="0.25">
      <c r="A172">
        <v>71.799999999999002</v>
      </c>
      <c r="B172">
        <v>825</v>
      </c>
    </row>
    <row r="173" spans="1:2" x14ac:dyDescent="0.25">
      <c r="A173">
        <v>71.899999999998997</v>
      </c>
      <c r="B173">
        <v>824</v>
      </c>
    </row>
    <row r="174" spans="1:2" x14ac:dyDescent="0.25">
      <c r="A174">
        <v>71.999999999999005</v>
      </c>
      <c r="B174">
        <v>823</v>
      </c>
    </row>
    <row r="175" spans="1:2" x14ac:dyDescent="0.25">
      <c r="A175">
        <v>72.099999999999</v>
      </c>
      <c r="B175">
        <v>821</v>
      </c>
    </row>
    <row r="176" spans="1:2" x14ac:dyDescent="0.25">
      <c r="A176">
        <v>72.199999999998994</v>
      </c>
      <c r="B176">
        <v>820</v>
      </c>
    </row>
    <row r="177" spans="1:2" x14ac:dyDescent="0.25">
      <c r="A177">
        <v>72.299999999999002</v>
      </c>
      <c r="B177">
        <v>819</v>
      </c>
    </row>
    <row r="178" spans="1:2" x14ac:dyDescent="0.25">
      <c r="A178">
        <v>72.399999999998997</v>
      </c>
      <c r="B178">
        <v>828</v>
      </c>
    </row>
    <row r="179" spans="1:2" x14ac:dyDescent="0.25">
      <c r="A179">
        <v>72.499999999999005</v>
      </c>
      <c r="B179">
        <v>816</v>
      </c>
    </row>
    <row r="180" spans="1:2" x14ac:dyDescent="0.25">
      <c r="A180">
        <v>72.599999999999</v>
      </c>
      <c r="B180">
        <v>815</v>
      </c>
    </row>
    <row r="181" spans="1:2" x14ac:dyDescent="0.25">
      <c r="A181">
        <v>72.699999999998994</v>
      </c>
      <c r="B181">
        <v>814</v>
      </c>
    </row>
    <row r="182" spans="1:2" x14ac:dyDescent="0.25">
      <c r="A182">
        <v>72.799999999999002</v>
      </c>
      <c r="B182">
        <v>813</v>
      </c>
    </row>
    <row r="183" spans="1:2" x14ac:dyDescent="0.25">
      <c r="A183">
        <v>72.899999999998997</v>
      </c>
      <c r="B183">
        <v>811</v>
      </c>
    </row>
    <row r="184" spans="1:2" x14ac:dyDescent="0.25">
      <c r="A184">
        <v>72.999999999999005</v>
      </c>
      <c r="B184">
        <v>810</v>
      </c>
    </row>
    <row r="185" spans="1:2" x14ac:dyDescent="0.25">
      <c r="A185">
        <v>73.099999999999</v>
      </c>
      <c r="B185">
        <v>808</v>
      </c>
    </row>
    <row r="186" spans="1:2" x14ac:dyDescent="0.25">
      <c r="A186">
        <v>73.199999999998894</v>
      </c>
      <c r="B186">
        <v>806</v>
      </c>
    </row>
    <row r="187" spans="1:2" x14ac:dyDescent="0.25">
      <c r="A187">
        <v>73.299999999998903</v>
      </c>
      <c r="B187">
        <v>804</v>
      </c>
    </row>
    <row r="188" spans="1:2" x14ac:dyDescent="0.25">
      <c r="A188">
        <v>73.399999999998897</v>
      </c>
      <c r="B188">
        <v>803</v>
      </c>
    </row>
    <row r="189" spans="1:2" x14ac:dyDescent="0.25">
      <c r="A189">
        <v>73.499999999998906</v>
      </c>
      <c r="B189">
        <v>801</v>
      </c>
    </row>
    <row r="190" spans="1:2" x14ac:dyDescent="0.25">
      <c r="A190">
        <v>73.5999999999989</v>
      </c>
      <c r="B190">
        <v>799</v>
      </c>
    </row>
    <row r="191" spans="1:2" x14ac:dyDescent="0.25">
      <c r="A191">
        <v>73.699999999998894</v>
      </c>
      <c r="B191">
        <v>797</v>
      </c>
    </row>
    <row r="192" spans="1:2" x14ac:dyDescent="0.25">
      <c r="A192">
        <v>73.799999999998903</v>
      </c>
      <c r="B192">
        <v>795</v>
      </c>
    </row>
    <row r="193" spans="1:2" x14ac:dyDescent="0.25">
      <c r="A193">
        <v>73.899999999998897</v>
      </c>
      <c r="B193">
        <v>793</v>
      </c>
    </row>
    <row r="194" spans="1:2" x14ac:dyDescent="0.25">
      <c r="A194">
        <v>73.999999999998906</v>
      </c>
      <c r="B194">
        <v>791</v>
      </c>
    </row>
    <row r="195" spans="1:2" x14ac:dyDescent="0.25">
      <c r="A195">
        <v>74.0999999999989</v>
      </c>
      <c r="B195">
        <v>789</v>
      </c>
    </row>
    <row r="196" spans="1:2" x14ac:dyDescent="0.25">
      <c r="A196">
        <v>74.199999999998894</v>
      </c>
      <c r="B196">
        <v>788</v>
      </c>
    </row>
    <row r="197" spans="1:2" x14ac:dyDescent="0.25">
      <c r="A197">
        <v>74.299999999998903</v>
      </c>
      <c r="B197">
        <v>786</v>
      </c>
    </row>
    <row r="198" spans="1:2" x14ac:dyDescent="0.25">
      <c r="A198">
        <v>74.399999999998897</v>
      </c>
      <c r="B198">
        <v>784</v>
      </c>
    </row>
    <row r="199" spans="1:2" x14ac:dyDescent="0.25">
      <c r="A199">
        <v>74.499999999998906</v>
      </c>
      <c r="B199">
        <v>782</v>
      </c>
    </row>
    <row r="200" spans="1:2" x14ac:dyDescent="0.25">
      <c r="A200">
        <v>74.5999999999989</v>
      </c>
      <c r="B200">
        <v>780</v>
      </c>
    </row>
    <row r="201" spans="1:2" x14ac:dyDescent="0.25">
      <c r="A201">
        <v>74.699999999998894</v>
      </c>
      <c r="B201">
        <v>778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76"/>
  <sheetViews>
    <sheetView zoomScale="115" zoomScaleNormal="115" zoomScaleSheetLayoutView="100" workbookViewId="0">
      <selection activeCell="C14" sqref="C14:E14"/>
    </sheetView>
  </sheetViews>
  <sheetFormatPr defaultRowHeight="11.25" x14ac:dyDescent="0.25"/>
  <cols>
    <col min="1" max="2" width="13.85546875" style="198" customWidth="1"/>
    <col min="3" max="7" width="9.85546875" style="198" customWidth="1"/>
    <col min="8" max="9" width="5" style="198" customWidth="1"/>
    <col min="10" max="38" width="5.28515625" style="198" customWidth="1"/>
    <col min="39" max="16384" width="9.140625" style="198"/>
  </cols>
  <sheetData>
    <row r="1" spans="1:9" ht="58.5" customHeight="1" x14ac:dyDescent="0.25">
      <c r="A1" s="458" t="s">
        <v>401</v>
      </c>
      <c r="B1" s="459"/>
      <c r="C1" s="459"/>
      <c r="D1" s="459"/>
      <c r="E1" s="459"/>
      <c r="F1" s="459"/>
      <c r="G1" s="460"/>
      <c r="H1" s="197"/>
      <c r="I1" s="197"/>
    </row>
    <row r="2" spans="1:9" ht="11.25" customHeight="1" x14ac:dyDescent="0.25">
      <c r="A2" s="461" t="s">
        <v>0</v>
      </c>
      <c r="B2" s="462"/>
      <c r="C2" s="462"/>
      <c r="D2" s="462"/>
      <c r="E2" s="462"/>
      <c r="F2" s="462"/>
      <c r="G2" s="463"/>
      <c r="H2" s="199"/>
      <c r="I2" s="315"/>
    </row>
    <row r="3" spans="1:9" ht="16.5" customHeight="1" x14ac:dyDescent="0.25">
      <c r="A3" s="453" t="s">
        <v>1</v>
      </c>
      <c r="B3" s="455"/>
      <c r="C3" s="313" t="s">
        <v>191</v>
      </c>
      <c r="D3" s="314"/>
      <c r="E3" s="314"/>
      <c r="F3" s="314"/>
      <c r="G3" s="375"/>
    </row>
    <row r="4" spans="1:9" ht="16.5" customHeight="1" x14ac:dyDescent="0.25">
      <c r="A4" s="457" t="s">
        <v>2</v>
      </c>
      <c r="B4" s="457"/>
      <c r="C4" s="464" t="s">
        <v>3</v>
      </c>
      <c r="D4" s="465"/>
      <c r="E4" s="465"/>
      <c r="F4" s="465"/>
      <c r="G4" s="466"/>
    </row>
    <row r="5" spans="1:9" ht="16.5" customHeight="1" x14ac:dyDescent="0.25">
      <c r="A5" s="457" t="s">
        <v>264</v>
      </c>
      <c r="B5" s="457"/>
      <c r="C5" s="464" t="s">
        <v>266</v>
      </c>
      <c r="D5" s="465"/>
      <c r="E5" s="465"/>
      <c r="F5" s="465"/>
      <c r="G5" s="466"/>
    </row>
    <row r="6" spans="1:9" ht="16.5" customHeight="1" x14ac:dyDescent="0.25">
      <c r="A6" s="457" t="s">
        <v>4</v>
      </c>
      <c r="B6" s="457"/>
      <c r="C6" s="464" t="s">
        <v>426</v>
      </c>
      <c r="D6" s="465"/>
      <c r="E6" s="465"/>
      <c r="F6" s="465"/>
      <c r="G6" s="466"/>
      <c r="H6" s="198" t="s">
        <v>400</v>
      </c>
    </row>
    <row r="7" spans="1:9" ht="16.5" customHeight="1" x14ac:dyDescent="0.25">
      <c r="A7" s="453" t="s">
        <v>378</v>
      </c>
      <c r="B7" s="455"/>
      <c r="C7" s="464"/>
      <c r="D7" s="465"/>
      <c r="E7" s="465"/>
      <c r="F7" s="465"/>
      <c r="G7" s="466"/>
      <c r="H7" s="198" t="s">
        <v>394</v>
      </c>
    </row>
    <row r="8" spans="1:9" ht="16.5" customHeight="1" x14ac:dyDescent="0.25">
      <c r="A8" s="457" t="s">
        <v>182</v>
      </c>
      <c r="B8" s="457"/>
      <c r="C8" s="464" t="s">
        <v>184</v>
      </c>
      <c r="D8" s="465"/>
      <c r="E8" s="465"/>
      <c r="F8" s="465"/>
      <c r="G8" s="466"/>
      <c r="H8" s="198" t="s">
        <v>374</v>
      </c>
    </row>
    <row r="9" spans="1:9" ht="16.5" customHeight="1" x14ac:dyDescent="0.25">
      <c r="A9" s="457" t="s">
        <v>406</v>
      </c>
      <c r="B9" s="457"/>
      <c r="C9" s="464">
        <v>70</v>
      </c>
      <c r="D9" s="465"/>
      <c r="E9" s="465"/>
      <c r="F9" s="465"/>
      <c r="G9" s="466"/>
    </row>
    <row r="10" spans="1:9" ht="16.5" customHeight="1" x14ac:dyDescent="0.25">
      <c r="A10" s="457" t="s">
        <v>407</v>
      </c>
      <c r="B10" s="457"/>
      <c r="C10" s="464">
        <v>11.5</v>
      </c>
      <c r="D10" s="465"/>
      <c r="E10" s="465"/>
      <c r="F10" s="465"/>
      <c r="G10" s="466"/>
    </row>
    <row r="11" spans="1:9" ht="5.25" customHeight="1" x14ac:dyDescent="0.25">
      <c r="A11" s="376"/>
      <c r="B11" s="201"/>
      <c r="C11" s="202"/>
      <c r="D11" s="202"/>
      <c r="E11" s="202"/>
      <c r="F11" s="202"/>
      <c r="G11" s="377"/>
    </row>
    <row r="12" spans="1:9" x14ac:dyDescent="0.25">
      <c r="A12" s="449" t="s">
        <v>5</v>
      </c>
      <c r="B12" s="449"/>
      <c r="C12" s="449"/>
      <c r="D12" s="449"/>
      <c r="E12" s="449"/>
      <c r="F12" s="449"/>
      <c r="G12" s="449"/>
    </row>
    <row r="13" spans="1:9" x14ac:dyDescent="0.25">
      <c r="A13" s="449" t="s">
        <v>6</v>
      </c>
      <c r="B13" s="449"/>
      <c r="C13" s="449" t="s">
        <v>7</v>
      </c>
      <c r="D13" s="449"/>
      <c r="E13" s="449"/>
      <c r="F13" s="467" t="s">
        <v>8</v>
      </c>
      <c r="G13" s="468"/>
    </row>
    <row r="14" spans="1:9" ht="11.25" customHeight="1" x14ac:dyDescent="0.25">
      <c r="A14" s="469" t="s">
        <v>9</v>
      </c>
      <c r="B14" s="469"/>
      <c r="C14" s="470" t="s">
        <v>10</v>
      </c>
      <c r="D14" s="470"/>
      <c r="E14" s="470"/>
      <c r="F14" s="471" t="str">
        <f>C14&amp;CHAR(10)&amp;C15&amp;CHAR(10)&amp;CHAR(10)&amp;"...../...../........."</f>
        <v>Lab. Teknisyeni
Lab. Teknisyeni
...../...../.........</v>
      </c>
      <c r="G14" s="472"/>
    </row>
    <row r="15" spans="1:9" x14ac:dyDescent="0.25">
      <c r="A15" s="469"/>
      <c r="B15" s="469"/>
      <c r="C15" s="470" t="s">
        <v>10</v>
      </c>
      <c r="D15" s="470"/>
      <c r="E15" s="470"/>
      <c r="F15" s="473"/>
      <c r="G15" s="474"/>
    </row>
    <row r="16" spans="1:9" ht="11.25" customHeight="1" x14ac:dyDescent="0.25">
      <c r="A16" s="469" t="s">
        <v>11</v>
      </c>
      <c r="B16" s="469"/>
      <c r="C16" s="470" t="s">
        <v>12</v>
      </c>
      <c r="D16" s="470"/>
      <c r="E16" s="470"/>
      <c r="F16" s="471" t="str">
        <f t="shared" ref="F16" si="0">C16&amp;CHAR(10)&amp;C17&amp;CHAR(10)&amp;CHAR(10)&amp;"...../...../........."</f>
        <v>Şantiye Şefi
Şantiye Şefi
...../...../.........</v>
      </c>
      <c r="G16" s="472"/>
    </row>
    <row r="17" spans="1:38" x14ac:dyDescent="0.25">
      <c r="A17" s="469"/>
      <c r="B17" s="469"/>
      <c r="C17" s="470" t="s">
        <v>12</v>
      </c>
      <c r="D17" s="470"/>
      <c r="E17" s="470"/>
      <c r="F17" s="473"/>
      <c r="G17" s="474"/>
    </row>
    <row r="18" spans="1:38" ht="11.25" customHeight="1" x14ac:dyDescent="0.25">
      <c r="A18" s="469" t="s">
        <v>13</v>
      </c>
      <c r="B18" s="469"/>
      <c r="C18" s="470" t="s">
        <v>10</v>
      </c>
      <c r="D18" s="470"/>
      <c r="E18" s="470"/>
      <c r="F18" s="471" t="str">
        <f t="shared" ref="F18" si="1">C18&amp;CHAR(10)&amp;C19&amp;CHAR(10)&amp;CHAR(10)&amp;"...../...../........."</f>
        <v>Lab. Teknisyeni
Lab. Teknisyeni
...../...../.........</v>
      </c>
      <c r="G18" s="472"/>
    </row>
    <row r="19" spans="1:38" x14ac:dyDescent="0.25">
      <c r="A19" s="469"/>
      <c r="B19" s="469"/>
      <c r="C19" s="470" t="s">
        <v>10</v>
      </c>
      <c r="D19" s="470"/>
      <c r="E19" s="470"/>
      <c r="F19" s="473"/>
      <c r="G19" s="474"/>
    </row>
    <row r="20" spans="1:38" ht="11.25" customHeight="1" x14ac:dyDescent="0.25">
      <c r="A20" s="469" t="s">
        <v>14</v>
      </c>
      <c r="B20" s="469"/>
      <c r="C20" s="470"/>
      <c r="D20" s="470"/>
      <c r="E20" s="470"/>
      <c r="F20" s="471" t="str">
        <f t="shared" ref="F20" si="2">C20&amp;CHAR(10)&amp;C21&amp;CHAR(10)&amp;CHAR(10)&amp;"...../...../........."</f>
        <v xml:space="preserve">
...../...../.........</v>
      </c>
      <c r="G20" s="472"/>
    </row>
    <row r="21" spans="1:38" x14ac:dyDescent="0.25">
      <c r="A21" s="469"/>
      <c r="B21" s="469"/>
      <c r="C21" s="470"/>
      <c r="D21" s="470"/>
      <c r="E21" s="470"/>
      <c r="F21" s="473"/>
      <c r="G21" s="474"/>
    </row>
    <row r="22" spans="1:38" ht="11.25" customHeight="1" x14ac:dyDescent="0.25">
      <c r="A22" s="469" t="s">
        <v>15</v>
      </c>
      <c r="B22" s="469"/>
      <c r="C22" s="470"/>
      <c r="D22" s="470"/>
      <c r="E22" s="470"/>
      <c r="F22" s="471" t="str">
        <f t="shared" ref="F22" si="3">C22&amp;CHAR(10)&amp;C23&amp;CHAR(10)&amp;CHAR(10)&amp;"...../...../........."</f>
        <v xml:space="preserve">
...../...../.........</v>
      </c>
      <c r="G22" s="472"/>
    </row>
    <row r="23" spans="1:38" x14ac:dyDescent="0.25">
      <c r="A23" s="469"/>
      <c r="B23" s="469"/>
      <c r="C23" s="470"/>
      <c r="D23" s="470"/>
      <c r="E23" s="470"/>
      <c r="F23" s="473"/>
      <c r="G23" s="474"/>
      <c r="L23" s="216"/>
      <c r="M23" s="216"/>
      <c r="N23" s="216"/>
    </row>
    <row r="24" spans="1:38" ht="11.25" customHeight="1" x14ac:dyDescent="0.25">
      <c r="A24" s="469" t="s">
        <v>15</v>
      </c>
      <c r="B24" s="469"/>
      <c r="C24" s="470"/>
      <c r="D24" s="470"/>
      <c r="E24" s="470"/>
      <c r="F24" s="471" t="str">
        <f t="shared" ref="F24" si="4">C24&amp;CHAR(10)&amp;C25&amp;CHAR(10)&amp;CHAR(10)&amp;"...../...../........."</f>
        <v xml:space="preserve">
...../...../.........</v>
      </c>
      <c r="G24" s="472"/>
      <c r="L24" s="450" t="s">
        <v>395</v>
      </c>
      <c r="M24" s="451"/>
      <c r="N24" s="451"/>
      <c r="O24" s="452"/>
      <c r="P24" s="449" t="s">
        <v>402</v>
      </c>
      <c r="Q24" s="449"/>
      <c r="R24" s="449"/>
      <c r="S24" s="449"/>
      <c r="T24" s="449"/>
      <c r="U24" s="449"/>
      <c r="V24" s="449"/>
      <c r="W24" s="449"/>
    </row>
    <row r="25" spans="1:38" x14ac:dyDescent="0.25">
      <c r="A25" s="469"/>
      <c r="B25" s="469"/>
      <c r="C25" s="470"/>
      <c r="D25" s="470"/>
      <c r="E25" s="470"/>
      <c r="F25" s="473"/>
      <c r="G25" s="474"/>
      <c r="J25" s="213"/>
      <c r="K25" s="213"/>
      <c r="L25" s="195" t="str">
        <f xml:space="preserve">
IF(UPPER($C$6)="BİTÜMLÜ TEMEL","L",
IF(UPPER($C$6)="BİNDER","O",
IF(AND(UPPER($C$6)="AŞINMA",UPPER($C$7)="T1"),"R",
IF(AND(UPPER($C$6)="AŞINMA",UPPER($C$7)="T2"),"U",
IF(AND(UPPER($C$6)="AŞINMA T3",UPPER($C$7)="T3"),"X",
IF(UPPER($C$6)="TMA BİNDER","AA",
IF(AND(UPPER($C$6)="TMA AŞINMA",UPPER($C$7)="TİP-1A"),"AD",
IF(AND(UPPER($C$6)="TMA AŞINMA",UPPER($C$7)="TİP-1B"),"AG",
IF(AND(UPPER($C$6)="TMA AŞINMA",UPPER($C$7)="TİP-2"),"AJ",
"KAPLAMA CİNSİ YADA GRADASYON GİRİLMEMİŞ")))))))))</f>
        <v>O</v>
      </c>
      <c r="M25" s="195" t="str">
        <f xml:space="preserve">
IF(UPPER($C$6)="BİTÜMLÜ TEMEL","M",
IF(UPPER($C$6)="BİNDER","P",
IF(AND(UPPER($C$6)="AŞINMA",UPPER($C$7)="T1"),"S",
IF(AND(UPPER($C$6)="AŞINMA",UPPER($C$7)="T2"),"V",
IF(AND(UPPER($C$6)="AŞINMA T3",UPPER($C$7)="T3"),"Y",
IF(UPPER($C$6)="TMA BİNDER","AB",
IF(AND(UPPER($C$6)="TMA AŞINMA",UPPER($C$7)="TİP-1A"),"AE",
IF(AND(UPPER($C$6)="TMA AŞINMA",UPPER($C$7)="TİP-1B"),"AH",
IF(AND(UPPER($C$6)="TMA AŞINMA",UPPER($C$7)="TİP-2"),"AK",
"KAPLAMA CİNSİ YADA GRADASYON GİRİLMEMİŞ")))))))))</f>
        <v>P</v>
      </c>
      <c r="N25" s="195" t="str">
        <f xml:space="preserve">
IF(UPPER($C$6)="BİTÜMLÜ TEMEL","N",
IF(UPPER($C$6)="BİNDER","Q",
IF(AND(UPPER($C$6)="AŞINMA",UPPER($C$7)="T1"),"T",
IF(AND(UPPER($C$6)="AŞINMA",UPPER($C$7)="T2"),"V",
IF(AND(UPPER($C$6)="AŞINMA T3",UPPER($C$7)="T3"),"Z",
IF(UPPER($C$6)="TMA BİNDER","AC",
IF(AND(UPPER($C$6)="TMA AŞINMA",UPPER($C$7)="TİP-1A"),"AF",
IF(AND(UPPER($C$6)="TMA AŞINMA",UPPER($C$7)="TİP-1B"),"AI",
IF(AND(UPPER($C$6)="TMA AŞINMA",UPPER($C$7)="TİP-2"),"AJ",
"KAPLAMA CİNSİ YADA GRADASYON GİRİLMEMİŞ")))))))))</f>
        <v>Q</v>
      </c>
      <c r="O25" s="195"/>
      <c r="P25" s="449"/>
      <c r="Q25" s="449"/>
      <c r="R25" s="449"/>
      <c r="S25" s="449"/>
      <c r="T25" s="449"/>
      <c r="U25" s="449"/>
      <c r="V25" s="449"/>
      <c r="W25" s="449"/>
    </row>
    <row r="26" spans="1:38" ht="5.25" customHeight="1" x14ac:dyDescent="0.25">
      <c r="A26" s="376"/>
      <c r="B26" s="201"/>
      <c r="C26" s="378"/>
      <c r="D26" s="378"/>
      <c r="E26" s="378"/>
      <c r="F26" s="378"/>
      <c r="G26" s="379"/>
    </row>
    <row r="27" spans="1:38" ht="16.5" customHeight="1" x14ac:dyDescent="0.25">
      <c r="A27" s="478" t="s">
        <v>16</v>
      </c>
      <c r="B27" s="479"/>
      <c r="C27" s="467" t="s">
        <v>17</v>
      </c>
      <c r="D27" s="468"/>
      <c r="E27" s="467" t="s">
        <v>69</v>
      </c>
      <c r="F27" s="468"/>
      <c r="G27" s="447" t="s">
        <v>38</v>
      </c>
      <c r="J27" s="449" t="s">
        <v>16</v>
      </c>
      <c r="K27" s="449"/>
      <c r="L27" s="453" t="s">
        <v>386</v>
      </c>
      <c r="M27" s="454"/>
      <c r="N27" s="455"/>
      <c r="O27" s="453" t="s">
        <v>288</v>
      </c>
      <c r="P27" s="454"/>
      <c r="Q27" s="455"/>
      <c r="R27" s="453" t="s">
        <v>384</v>
      </c>
      <c r="S27" s="454"/>
      <c r="T27" s="455"/>
      <c r="U27" s="453" t="s">
        <v>388</v>
      </c>
      <c r="V27" s="454"/>
      <c r="W27" s="455" t="s">
        <v>387</v>
      </c>
      <c r="X27" s="453" t="s">
        <v>290</v>
      </c>
      <c r="Y27" s="454"/>
      <c r="Z27" s="455" t="s">
        <v>387</v>
      </c>
      <c r="AA27" s="453" t="s">
        <v>291</v>
      </c>
      <c r="AB27" s="454"/>
      <c r="AC27" s="455" t="s">
        <v>387</v>
      </c>
      <c r="AD27" s="453" t="s">
        <v>389</v>
      </c>
      <c r="AE27" s="454"/>
      <c r="AF27" s="455" t="s">
        <v>387</v>
      </c>
      <c r="AG27" s="453" t="s">
        <v>390</v>
      </c>
      <c r="AH27" s="454"/>
      <c r="AI27" s="455" t="s">
        <v>387</v>
      </c>
      <c r="AJ27" s="453" t="s">
        <v>391</v>
      </c>
      <c r="AK27" s="454"/>
      <c r="AL27" s="455" t="s">
        <v>387</v>
      </c>
    </row>
    <row r="28" spans="1:38" ht="16.5" customHeight="1" x14ac:dyDescent="0.25">
      <c r="A28" s="480"/>
      <c r="B28" s="481"/>
      <c r="C28" s="312" t="s">
        <v>18</v>
      </c>
      <c r="D28" s="312" t="s">
        <v>19</v>
      </c>
      <c r="E28" s="312" t="s">
        <v>18</v>
      </c>
      <c r="F28" s="312" t="s">
        <v>19</v>
      </c>
      <c r="G28" s="448"/>
      <c r="J28" s="449"/>
      <c r="K28" s="449"/>
      <c r="L28" s="192" t="s">
        <v>18</v>
      </c>
      <c r="M28" s="192" t="s">
        <v>19</v>
      </c>
      <c r="N28" s="192" t="s">
        <v>392</v>
      </c>
      <c r="O28" s="192" t="s">
        <v>18</v>
      </c>
      <c r="P28" s="192" t="s">
        <v>19</v>
      </c>
      <c r="Q28" s="192" t="s">
        <v>392</v>
      </c>
      <c r="R28" s="192" t="s">
        <v>18</v>
      </c>
      <c r="S28" s="192" t="s">
        <v>19</v>
      </c>
      <c r="T28" s="192" t="s">
        <v>392</v>
      </c>
      <c r="U28" s="192" t="s">
        <v>18</v>
      </c>
      <c r="V28" s="192" t="s">
        <v>19</v>
      </c>
      <c r="W28" s="192" t="s">
        <v>392</v>
      </c>
      <c r="X28" s="192" t="s">
        <v>18</v>
      </c>
      <c r="Y28" s="192" t="s">
        <v>19</v>
      </c>
      <c r="Z28" s="192" t="s">
        <v>392</v>
      </c>
      <c r="AA28" s="192" t="s">
        <v>18</v>
      </c>
      <c r="AB28" s="192" t="s">
        <v>19</v>
      </c>
      <c r="AC28" s="192" t="s">
        <v>392</v>
      </c>
      <c r="AD28" s="192" t="s">
        <v>18</v>
      </c>
      <c r="AE28" s="192" t="s">
        <v>19</v>
      </c>
      <c r="AF28" s="192" t="s">
        <v>392</v>
      </c>
      <c r="AG28" s="192" t="s">
        <v>18</v>
      </c>
      <c r="AH28" s="192" t="s">
        <v>19</v>
      </c>
      <c r="AI28" s="192" t="s">
        <v>392</v>
      </c>
      <c r="AJ28" s="192" t="s">
        <v>18</v>
      </c>
      <c r="AK28" s="192" t="s">
        <v>19</v>
      </c>
      <c r="AL28" s="192" t="s">
        <v>392</v>
      </c>
    </row>
    <row r="29" spans="1:38" ht="16.5" customHeight="1" x14ac:dyDescent="0.25">
      <c r="A29" s="127">
        <v>38.099999999999994</v>
      </c>
      <c r="B29" s="31" t="s">
        <v>20</v>
      </c>
      <c r="C29" s="316">
        <f ca="1">IFERROR(INDIRECT($L$25&amp;ROW(A29)),"HATA 05A6")</f>
        <v>100</v>
      </c>
      <c r="D29" s="215">
        <f ca="1">IFERROR(INDIRECT($M$25&amp;ROW(A29)),"HATA 05A6")</f>
        <v>100</v>
      </c>
      <c r="E29" s="318">
        <f ca="1" xml:space="preserve">
IFERROR(
IF(G29=100,100,
IF(G29+INDIRECT($N$25&amp;ROW(A29))&gt;C29,C29,
G29+INDIRECT($N$25&amp;ROW(A29)))),"HATA 05A6")</f>
        <v>100</v>
      </c>
      <c r="F29" s="318">
        <f ca="1" xml:space="preserve">
IFERROR(
IF(G29=100,100,
IF(G29-INDIRECT($N$25&amp;ROW(A29))&lt;D29,D29,
G29-INDIRECT($N$25&amp;ROW(A29)))),"HATA 05A6")</f>
        <v>100</v>
      </c>
      <c r="G29" s="234">
        <v>100</v>
      </c>
      <c r="J29" s="128">
        <f>A29</f>
        <v>38.099999999999994</v>
      </c>
      <c r="K29" s="32" t="s">
        <v>20</v>
      </c>
      <c r="L29" s="228">
        <v>100</v>
      </c>
      <c r="M29" s="228">
        <v>100</v>
      </c>
      <c r="N29" s="228">
        <v>5</v>
      </c>
      <c r="O29" s="228">
        <v>100</v>
      </c>
      <c r="P29" s="228">
        <v>100</v>
      </c>
      <c r="Q29" s="228">
        <v>4</v>
      </c>
      <c r="R29" s="228">
        <v>100</v>
      </c>
      <c r="S29" s="228">
        <v>100</v>
      </c>
      <c r="T29" s="228">
        <v>4</v>
      </c>
      <c r="U29" s="228">
        <v>100</v>
      </c>
      <c r="V29" s="228">
        <v>100</v>
      </c>
      <c r="W29" s="228">
        <v>4</v>
      </c>
      <c r="X29" s="228">
        <v>100</v>
      </c>
      <c r="Y29" s="228">
        <v>100</v>
      </c>
      <c r="Z29" s="228">
        <v>4</v>
      </c>
      <c r="AA29" s="228">
        <v>100</v>
      </c>
      <c r="AB29" s="228">
        <v>100</v>
      </c>
      <c r="AC29" s="228">
        <v>4</v>
      </c>
      <c r="AD29" s="228">
        <v>100</v>
      </c>
      <c r="AE29" s="228">
        <v>100</v>
      </c>
      <c r="AF29" s="228">
        <v>4</v>
      </c>
      <c r="AG29" s="228">
        <v>100</v>
      </c>
      <c r="AH29" s="228">
        <v>100</v>
      </c>
      <c r="AI29" s="228">
        <v>4</v>
      </c>
      <c r="AJ29" s="228">
        <v>100</v>
      </c>
      <c r="AK29" s="228">
        <v>100</v>
      </c>
      <c r="AL29" s="228">
        <v>4</v>
      </c>
    </row>
    <row r="30" spans="1:38" ht="16.5" customHeight="1" x14ac:dyDescent="0.25">
      <c r="A30" s="128">
        <v>25.4</v>
      </c>
      <c r="B30" s="32" t="s">
        <v>21</v>
      </c>
      <c r="C30" s="316">
        <f t="shared" ref="C30:C38" ca="1" si="5">IFERROR(INDIRECT($L$25&amp;ROW(A30)),"HATA 05A6")</f>
        <v>100</v>
      </c>
      <c r="D30" s="215">
        <f t="shared" ref="D30:D38" ca="1" si="6">IFERROR(INDIRECT($M$25&amp;ROW(A30)),"HATA 05A6")</f>
        <v>100</v>
      </c>
      <c r="E30" s="318">
        <f t="shared" ref="E30:E38" ca="1" si="7" xml:space="preserve">
IFERROR(
IF(G30=100,100,
IF(G30+INDIRECT($N$25&amp;ROW(A30))&gt;C30,C30,
G30+INDIRECT($N$25&amp;ROW(A30)))),"HATA 05A6")</f>
        <v>100</v>
      </c>
      <c r="F30" s="318">
        <f t="shared" ref="F30:F38" ca="1" si="8" xml:space="preserve">
IFERROR(
IF(G30=100,100,
IF(G30-INDIRECT($N$25&amp;ROW(A30))&lt;D30,D30,
G30-INDIRECT($N$25&amp;ROW(A30)))),"HATA 05A6")</f>
        <v>100</v>
      </c>
      <c r="G30" s="234">
        <v>100</v>
      </c>
      <c r="J30" s="128">
        <f t="shared" ref="J30:J38" si="9">A30</f>
        <v>25.4</v>
      </c>
      <c r="K30" s="32" t="s">
        <v>21</v>
      </c>
      <c r="L30" s="228">
        <v>100</v>
      </c>
      <c r="M30" s="228">
        <v>72</v>
      </c>
      <c r="N30" s="228">
        <v>5</v>
      </c>
      <c r="O30" s="228">
        <v>100</v>
      </c>
      <c r="P30" s="228">
        <v>100</v>
      </c>
      <c r="Q30" s="228">
        <v>4</v>
      </c>
      <c r="R30" s="228">
        <v>100</v>
      </c>
      <c r="S30" s="228">
        <v>100</v>
      </c>
      <c r="T30" s="228">
        <v>4</v>
      </c>
      <c r="U30" s="228">
        <v>100</v>
      </c>
      <c r="V30" s="228">
        <v>100</v>
      </c>
      <c r="W30" s="228">
        <v>4</v>
      </c>
      <c r="X30" s="228">
        <v>100</v>
      </c>
      <c r="Y30" s="228">
        <v>100</v>
      </c>
      <c r="Z30" s="228">
        <v>4</v>
      </c>
      <c r="AA30" s="228">
        <v>100</v>
      </c>
      <c r="AB30" s="228">
        <v>100</v>
      </c>
      <c r="AC30" s="228">
        <v>4</v>
      </c>
      <c r="AD30" s="228">
        <v>100</v>
      </c>
      <c r="AE30" s="228">
        <v>100</v>
      </c>
      <c r="AF30" s="228">
        <v>4</v>
      </c>
      <c r="AG30" s="228">
        <v>100</v>
      </c>
      <c r="AH30" s="228">
        <v>100</v>
      </c>
      <c r="AI30" s="228">
        <v>4</v>
      </c>
      <c r="AJ30" s="228">
        <v>100</v>
      </c>
      <c r="AK30" s="228">
        <v>100</v>
      </c>
      <c r="AL30" s="228">
        <v>4</v>
      </c>
    </row>
    <row r="31" spans="1:38" ht="16.5" customHeight="1" x14ac:dyDescent="0.25">
      <c r="A31" s="128">
        <v>19.100000000000001</v>
      </c>
      <c r="B31" s="32" t="s">
        <v>22</v>
      </c>
      <c r="C31" s="316">
        <f t="shared" ca="1" si="5"/>
        <v>100</v>
      </c>
      <c r="D31" s="215">
        <f t="shared" ca="1" si="6"/>
        <v>80</v>
      </c>
      <c r="E31" s="318">
        <f t="shared" ca="1" si="7"/>
        <v>93.5</v>
      </c>
      <c r="F31" s="318">
        <f t="shared" ca="1" si="8"/>
        <v>85.5</v>
      </c>
      <c r="G31" s="234">
        <v>89.5</v>
      </c>
      <c r="J31" s="128">
        <f t="shared" si="9"/>
        <v>19.100000000000001</v>
      </c>
      <c r="K31" s="32" t="s">
        <v>22</v>
      </c>
      <c r="L31" s="228">
        <v>90</v>
      </c>
      <c r="M31" s="228">
        <v>60</v>
      </c>
      <c r="N31" s="228">
        <v>5</v>
      </c>
      <c r="O31" s="228">
        <v>100</v>
      </c>
      <c r="P31" s="228">
        <v>80</v>
      </c>
      <c r="Q31" s="228">
        <v>4</v>
      </c>
      <c r="R31" s="228">
        <v>100</v>
      </c>
      <c r="S31" s="228">
        <v>100</v>
      </c>
      <c r="T31" s="228">
        <v>4</v>
      </c>
      <c r="U31" s="228">
        <v>100</v>
      </c>
      <c r="V31" s="228">
        <v>100</v>
      </c>
      <c r="W31" s="228">
        <v>4</v>
      </c>
      <c r="X31" s="228">
        <v>100</v>
      </c>
      <c r="Y31" s="228">
        <v>100</v>
      </c>
      <c r="Z31" s="228">
        <v>4</v>
      </c>
      <c r="AA31" s="228">
        <v>100</v>
      </c>
      <c r="AB31" s="228">
        <v>92</v>
      </c>
      <c r="AC31" s="228">
        <v>4</v>
      </c>
      <c r="AD31" s="228">
        <v>100</v>
      </c>
      <c r="AE31" s="228">
        <v>100</v>
      </c>
      <c r="AF31" s="228">
        <v>4</v>
      </c>
      <c r="AG31" s="228">
        <v>100</v>
      </c>
      <c r="AH31" s="228">
        <v>100</v>
      </c>
      <c r="AI31" s="228">
        <v>4</v>
      </c>
      <c r="AJ31" s="228">
        <v>100</v>
      </c>
      <c r="AK31" s="228">
        <v>100</v>
      </c>
      <c r="AL31" s="228">
        <v>4</v>
      </c>
    </row>
    <row r="32" spans="1:38" ht="16.5" customHeight="1" x14ac:dyDescent="0.25">
      <c r="A32" s="128">
        <v>12.7</v>
      </c>
      <c r="B32" s="32" t="s">
        <v>23</v>
      </c>
      <c r="C32" s="316">
        <f t="shared" ca="1" si="5"/>
        <v>80</v>
      </c>
      <c r="D32" s="215">
        <f t="shared" ca="1" si="6"/>
        <v>58</v>
      </c>
      <c r="E32" s="318">
        <f t="shared" ca="1" si="7"/>
        <v>71.599999999999994</v>
      </c>
      <c r="F32" s="318">
        <f t="shared" ca="1" si="8"/>
        <v>63.599999999999994</v>
      </c>
      <c r="G32" s="234">
        <v>67.599999999999994</v>
      </c>
      <c r="J32" s="128">
        <f t="shared" si="9"/>
        <v>12.7</v>
      </c>
      <c r="K32" s="32" t="s">
        <v>23</v>
      </c>
      <c r="L32" s="228">
        <v>78</v>
      </c>
      <c r="M32" s="228">
        <v>50</v>
      </c>
      <c r="N32" s="228">
        <v>5</v>
      </c>
      <c r="O32" s="228">
        <v>80</v>
      </c>
      <c r="P32" s="228">
        <v>58</v>
      </c>
      <c r="Q32" s="228">
        <v>4</v>
      </c>
      <c r="R32" s="228">
        <v>100</v>
      </c>
      <c r="S32" s="228">
        <v>88</v>
      </c>
      <c r="T32" s="228">
        <v>4</v>
      </c>
      <c r="U32" s="228">
        <v>100</v>
      </c>
      <c r="V32" s="228">
        <v>100</v>
      </c>
      <c r="W32" s="228">
        <v>4</v>
      </c>
      <c r="X32" s="228">
        <v>100</v>
      </c>
      <c r="Y32" s="228">
        <v>100</v>
      </c>
      <c r="Z32" s="228">
        <v>4</v>
      </c>
      <c r="AA32" s="228">
        <v>83</v>
      </c>
      <c r="AB32" s="228">
        <v>73</v>
      </c>
      <c r="AC32" s="228">
        <v>4</v>
      </c>
      <c r="AD32" s="228">
        <v>100</v>
      </c>
      <c r="AE32" s="228">
        <v>90</v>
      </c>
      <c r="AF32" s="228">
        <v>4</v>
      </c>
      <c r="AG32" s="228">
        <v>100</v>
      </c>
      <c r="AH32" s="228">
        <v>100</v>
      </c>
      <c r="AI32" s="228">
        <v>4</v>
      </c>
      <c r="AJ32" s="228">
        <v>100</v>
      </c>
      <c r="AK32" s="228">
        <v>100</v>
      </c>
      <c r="AL32" s="228">
        <v>4</v>
      </c>
    </row>
    <row r="33" spans="1:38" ht="16.5" customHeight="1" x14ac:dyDescent="0.25">
      <c r="A33" s="129">
        <v>9.5299999999999994</v>
      </c>
      <c r="B33" s="32" t="s">
        <v>24</v>
      </c>
      <c r="C33" s="316">
        <f t="shared" ca="1" si="5"/>
        <v>70</v>
      </c>
      <c r="D33" s="215">
        <f t="shared" ca="1" si="6"/>
        <v>48</v>
      </c>
      <c r="E33" s="318">
        <f t="shared" ca="1" si="7"/>
        <v>64.5</v>
      </c>
      <c r="F33" s="318">
        <f t="shared" ca="1" si="8"/>
        <v>56.5</v>
      </c>
      <c r="G33" s="234">
        <v>60.5</v>
      </c>
      <c r="J33" s="128">
        <f t="shared" si="9"/>
        <v>9.5299999999999994</v>
      </c>
      <c r="K33" s="32" t="s">
        <v>24</v>
      </c>
      <c r="L33" s="228">
        <v>70</v>
      </c>
      <c r="M33" s="228">
        <v>43</v>
      </c>
      <c r="N33" s="228">
        <v>5</v>
      </c>
      <c r="O33" s="228">
        <v>70</v>
      </c>
      <c r="P33" s="228">
        <v>48</v>
      </c>
      <c r="Q33" s="228">
        <v>4</v>
      </c>
      <c r="R33" s="228">
        <v>90</v>
      </c>
      <c r="S33" s="228">
        <v>72</v>
      </c>
      <c r="T33" s="228">
        <v>4</v>
      </c>
      <c r="U33" s="228">
        <v>100</v>
      </c>
      <c r="V33" s="228">
        <v>80</v>
      </c>
      <c r="W33" s="228">
        <v>4</v>
      </c>
      <c r="X33" s="228">
        <v>100</v>
      </c>
      <c r="Y33" s="228">
        <v>90</v>
      </c>
      <c r="Z33" s="228">
        <v>4</v>
      </c>
      <c r="AA33" s="228">
        <v>66</v>
      </c>
      <c r="AB33" s="228">
        <v>56</v>
      </c>
      <c r="AC33" s="228">
        <v>4</v>
      </c>
      <c r="AD33" s="228">
        <v>75</v>
      </c>
      <c r="AE33" s="228">
        <v>50</v>
      </c>
      <c r="AF33" s="228">
        <v>4</v>
      </c>
      <c r="AG33" s="228">
        <v>100</v>
      </c>
      <c r="AH33" s="228">
        <v>90</v>
      </c>
      <c r="AI33" s="228">
        <v>4</v>
      </c>
      <c r="AJ33" s="228">
        <v>100</v>
      </c>
      <c r="AK33" s="228">
        <v>90</v>
      </c>
      <c r="AL33" s="228">
        <v>4</v>
      </c>
    </row>
    <row r="34" spans="1:38" ht="16.5" customHeight="1" x14ac:dyDescent="0.25">
      <c r="A34" s="129">
        <f>IF(UPPER($C$6)="AŞINMA T3",6,4.75)</f>
        <v>4.75</v>
      </c>
      <c r="B34" s="33" t="str">
        <f>IF(UPPER($C$6)="AŞINMA T3","1/4''","No.4")</f>
        <v>No.4</v>
      </c>
      <c r="C34" s="316">
        <f t="shared" ca="1" si="5"/>
        <v>52</v>
      </c>
      <c r="D34" s="215">
        <f t="shared" ca="1" si="6"/>
        <v>30</v>
      </c>
      <c r="E34" s="318">
        <f t="shared" ca="1" si="7"/>
        <v>46.6</v>
      </c>
      <c r="F34" s="318">
        <f t="shared" ca="1" si="8"/>
        <v>38.6</v>
      </c>
      <c r="G34" s="234">
        <v>42.6</v>
      </c>
      <c r="J34" s="128">
        <f t="shared" si="9"/>
        <v>4.75</v>
      </c>
      <c r="K34" s="33" t="s">
        <v>25</v>
      </c>
      <c r="L34" s="228">
        <v>55</v>
      </c>
      <c r="M34" s="228">
        <v>30</v>
      </c>
      <c r="N34" s="228">
        <v>5</v>
      </c>
      <c r="O34" s="228">
        <v>52</v>
      </c>
      <c r="P34" s="228">
        <v>30</v>
      </c>
      <c r="Q34" s="228">
        <v>4</v>
      </c>
      <c r="R34" s="228">
        <v>52</v>
      </c>
      <c r="S34" s="228">
        <v>42</v>
      </c>
      <c r="T34" s="228">
        <v>4</v>
      </c>
      <c r="U34" s="228">
        <v>72</v>
      </c>
      <c r="V34" s="228">
        <v>55</v>
      </c>
      <c r="W34" s="228">
        <v>4</v>
      </c>
      <c r="X34" s="228">
        <v>33</v>
      </c>
      <c r="Y34" s="228">
        <v>25</v>
      </c>
      <c r="Z34" s="228">
        <v>4</v>
      </c>
      <c r="AA34" s="228">
        <v>42</v>
      </c>
      <c r="AB34" s="228">
        <v>32</v>
      </c>
      <c r="AC34" s="228">
        <v>3</v>
      </c>
      <c r="AD34" s="228">
        <v>40</v>
      </c>
      <c r="AE34" s="228">
        <v>25</v>
      </c>
      <c r="AF34" s="228">
        <v>3</v>
      </c>
      <c r="AG34" s="228">
        <v>45</v>
      </c>
      <c r="AH34" s="228">
        <v>25</v>
      </c>
      <c r="AI34" s="228">
        <v>3</v>
      </c>
      <c r="AJ34" s="228">
        <v>45</v>
      </c>
      <c r="AK34" s="228">
        <v>25</v>
      </c>
      <c r="AL34" s="228">
        <v>3</v>
      </c>
    </row>
    <row r="35" spans="1:38" ht="16.5" customHeight="1" x14ac:dyDescent="0.25">
      <c r="A35" s="129">
        <f>IF(UPPER($C$6)="AŞINMA T3",4.75,2)</f>
        <v>2</v>
      </c>
      <c r="B35" s="33" t="str">
        <f>IF(UPPER($C$6)="AŞINMA T3","No.4","No.10")</f>
        <v>No.10</v>
      </c>
      <c r="C35" s="316">
        <f t="shared" ca="1" si="5"/>
        <v>40</v>
      </c>
      <c r="D35" s="215">
        <f t="shared" ca="1" si="6"/>
        <v>20</v>
      </c>
      <c r="E35" s="318">
        <f t="shared" ca="1" si="7"/>
        <v>30.5</v>
      </c>
      <c r="F35" s="318">
        <f t="shared" ca="1" si="8"/>
        <v>24.5</v>
      </c>
      <c r="G35" s="234">
        <v>27.5</v>
      </c>
      <c r="J35" s="217">
        <f t="shared" si="9"/>
        <v>2</v>
      </c>
      <c r="K35" s="33" t="s">
        <v>26</v>
      </c>
      <c r="L35" s="228">
        <v>42</v>
      </c>
      <c r="M35" s="228">
        <v>18</v>
      </c>
      <c r="N35" s="228">
        <v>3</v>
      </c>
      <c r="O35" s="228">
        <v>40</v>
      </c>
      <c r="P35" s="228">
        <v>20</v>
      </c>
      <c r="Q35" s="228">
        <v>3</v>
      </c>
      <c r="R35" s="228">
        <v>35</v>
      </c>
      <c r="S35" s="228">
        <v>25</v>
      </c>
      <c r="T35" s="228">
        <v>3</v>
      </c>
      <c r="U35" s="228">
        <v>53</v>
      </c>
      <c r="V35" s="228">
        <v>36</v>
      </c>
      <c r="W35" s="228">
        <v>3</v>
      </c>
      <c r="X35" s="228">
        <v>31</v>
      </c>
      <c r="Y35" s="228">
        <v>23</v>
      </c>
      <c r="Z35" s="228">
        <v>3</v>
      </c>
      <c r="AA35" s="228">
        <v>30</v>
      </c>
      <c r="AB35" s="228">
        <v>25</v>
      </c>
      <c r="AC35" s="228">
        <v>3</v>
      </c>
      <c r="AD35" s="228">
        <v>30</v>
      </c>
      <c r="AE35" s="228">
        <v>30</v>
      </c>
      <c r="AF35" s="228">
        <v>3</v>
      </c>
      <c r="AG35" s="228">
        <v>30</v>
      </c>
      <c r="AH35" s="228">
        <v>20</v>
      </c>
      <c r="AI35" s="228">
        <v>3</v>
      </c>
      <c r="AJ35" s="228">
        <v>30</v>
      </c>
      <c r="AK35" s="228">
        <v>20</v>
      </c>
      <c r="AL35" s="228">
        <v>3</v>
      </c>
    </row>
    <row r="36" spans="1:38" ht="16.5" customHeight="1" x14ac:dyDescent="0.25">
      <c r="A36" s="218">
        <f>IF(UPPER($C$6)="AŞINMA T3",2,0.425)</f>
        <v>0.42499999999999999</v>
      </c>
      <c r="B36" s="33" t="str">
        <f>IF(UPPER($C$6)="AŞINMA T3","No.10","No.40")</f>
        <v>No.40</v>
      </c>
      <c r="C36" s="316">
        <f t="shared" ca="1" si="5"/>
        <v>22</v>
      </c>
      <c r="D36" s="215">
        <f t="shared" ca="1" si="6"/>
        <v>8</v>
      </c>
      <c r="E36" s="318">
        <f t="shared" ca="1" si="7"/>
        <v>15.9</v>
      </c>
      <c r="F36" s="318">
        <f t="shared" ca="1" si="8"/>
        <v>9.9</v>
      </c>
      <c r="G36" s="234">
        <v>12.9</v>
      </c>
      <c r="J36" s="218">
        <f t="shared" si="9"/>
        <v>0.42499999999999999</v>
      </c>
      <c r="K36" s="33" t="s">
        <v>27</v>
      </c>
      <c r="L36" s="228">
        <v>21</v>
      </c>
      <c r="M36" s="228">
        <v>6</v>
      </c>
      <c r="N36" s="228">
        <v>3</v>
      </c>
      <c r="O36" s="228">
        <v>22</v>
      </c>
      <c r="P36" s="228">
        <v>8</v>
      </c>
      <c r="Q36" s="228">
        <v>3</v>
      </c>
      <c r="R36" s="228">
        <v>20</v>
      </c>
      <c r="S36" s="228">
        <v>10</v>
      </c>
      <c r="T36" s="228">
        <v>3</v>
      </c>
      <c r="U36" s="228">
        <v>28</v>
      </c>
      <c r="V36" s="228">
        <v>16</v>
      </c>
      <c r="W36" s="228">
        <v>3</v>
      </c>
      <c r="X36" s="228">
        <v>27</v>
      </c>
      <c r="Y36" s="228">
        <v>20</v>
      </c>
      <c r="Z36" s="228">
        <v>3</v>
      </c>
      <c r="AA36" s="228">
        <v>20</v>
      </c>
      <c r="AB36" s="228">
        <v>14</v>
      </c>
      <c r="AC36" s="228">
        <v>3</v>
      </c>
      <c r="AD36" s="228">
        <v>22</v>
      </c>
      <c r="AE36" s="228">
        <v>12</v>
      </c>
      <c r="AF36" s="228">
        <v>3</v>
      </c>
      <c r="AG36" s="228">
        <v>22</v>
      </c>
      <c r="AH36" s="228">
        <v>12</v>
      </c>
      <c r="AI36" s="228">
        <v>3</v>
      </c>
      <c r="AJ36" s="228">
        <v>22</v>
      </c>
      <c r="AK36" s="228">
        <v>12</v>
      </c>
      <c r="AL36" s="228">
        <v>3</v>
      </c>
    </row>
    <row r="37" spans="1:38" ht="16.5" customHeight="1" x14ac:dyDescent="0.25">
      <c r="A37" s="217">
        <f>IF(UPPER($C$6)="AŞINMA T3",0.425,0.18)</f>
        <v>0.18</v>
      </c>
      <c r="B37" s="33" t="str">
        <f>IF(UPPER($C$6)="AŞINMA T3","No.40","No.80")</f>
        <v>No.80</v>
      </c>
      <c r="C37" s="316">
        <f t="shared" ca="1" si="5"/>
        <v>14</v>
      </c>
      <c r="D37" s="215">
        <f t="shared" ca="1" si="6"/>
        <v>5</v>
      </c>
      <c r="E37" s="318">
        <f t="shared" ca="1" si="7"/>
        <v>11.8</v>
      </c>
      <c r="F37" s="318">
        <f t="shared" ca="1" si="8"/>
        <v>5.8000000000000007</v>
      </c>
      <c r="G37" s="235">
        <v>8.8000000000000007</v>
      </c>
      <c r="J37" s="217">
        <f t="shared" si="9"/>
        <v>0.18</v>
      </c>
      <c r="K37" s="33" t="s">
        <v>28</v>
      </c>
      <c r="L37" s="228">
        <v>13</v>
      </c>
      <c r="M37" s="228">
        <v>2</v>
      </c>
      <c r="N37" s="228">
        <v>3</v>
      </c>
      <c r="O37" s="228">
        <v>14</v>
      </c>
      <c r="P37" s="228">
        <v>5</v>
      </c>
      <c r="Q37" s="228">
        <v>3</v>
      </c>
      <c r="R37" s="228">
        <v>14</v>
      </c>
      <c r="S37" s="228">
        <v>7</v>
      </c>
      <c r="T37" s="228">
        <v>3</v>
      </c>
      <c r="U37" s="228">
        <v>16</v>
      </c>
      <c r="V37" s="228">
        <v>8</v>
      </c>
      <c r="W37" s="228">
        <v>3</v>
      </c>
      <c r="X37" s="228">
        <v>18</v>
      </c>
      <c r="Y37" s="228">
        <v>12</v>
      </c>
      <c r="Z37" s="228">
        <v>3</v>
      </c>
      <c r="AA37" s="228">
        <v>15</v>
      </c>
      <c r="AB37" s="228">
        <v>9</v>
      </c>
      <c r="AC37" s="228">
        <v>3</v>
      </c>
      <c r="AD37" s="228">
        <v>17</v>
      </c>
      <c r="AE37" s="228">
        <v>9</v>
      </c>
      <c r="AF37" s="228">
        <v>3</v>
      </c>
      <c r="AG37" s="228">
        <v>17</v>
      </c>
      <c r="AH37" s="228">
        <v>9</v>
      </c>
      <c r="AI37" s="228">
        <v>3</v>
      </c>
      <c r="AJ37" s="228">
        <v>17</v>
      </c>
      <c r="AK37" s="228">
        <v>9</v>
      </c>
      <c r="AL37" s="228">
        <v>3</v>
      </c>
    </row>
    <row r="38" spans="1:38" ht="16.5" customHeight="1" x14ac:dyDescent="0.25">
      <c r="A38" s="130">
        <v>7.4999999999999997E-2</v>
      </c>
      <c r="B38" s="33" t="s">
        <v>29</v>
      </c>
      <c r="C38" s="316">
        <f t="shared" ca="1" si="5"/>
        <v>7</v>
      </c>
      <c r="D38" s="215">
        <f t="shared" ca="1" si="6"/>
        <v>2</v>
      </c>
      <c r="E38" s="318">
        <f t="shared" ca="1" si="7"/>
        <v>7</v>
      </c>
      <c r="F38" s="318">
        <f t="shared" ca="1" si="8"/>
        <v>3.25</v>
      </c>
      <c r="G38" s="234">
        <v>5.25</v>
      </c>
      <c r="J38" s="217">
        <f t="shared" si="9"/>
        <v>7.4999999999999997E-2</v>
      </c>
      <c r="K38" s="33" t="s">
        <v>29</v>
      </c>
      <c r="L38" s="228">
        <v>7</v>
      </c>
      <c r="M38" s="228">
        <v>0</v>
      </c>
      <c r="N38" s="228">
        <v>2</v>
      </c>
      <c r="O38" s="228">
        <v>7</v>
      </c>
      <c r="P38" s="228">
        <v>2</v>
      </c>
      <c r="Q38" s="228">
        <v>2</v>
      </c>
      <c r="R38" s="228">
        <v>8</v>
      </c>
      <c r="S38" s="228">
        <v>3</v>
      </c>
      <c r="T38" s="228">
        <v>2</v>
      </c>
      <c r="U38" s="228">
        <v>8</v>
      </c>
      <c r="V38" s="228">
        <v>4</v>
      </c>
      <c r="W38" s="228">
        <v>2</v>
      </c>
      <c r="X38" s="228">
        <v>11</v>
      </c>
      <c r="Y38" s="228">
        <v>7</v>
      </c>
      <c r="Z38" s="228">
        <v>2</v>
      </c>
      <c r="AA38" s="228">
        <v>11</v>
      </c>
      <c r="AB38" s="228">
        <v>7</v>
      </c>
      <c r="AC38" s="228">
        <v>2</v>
      </c>
      <c r="AD38" s="228">
        <v>12</v>
      </c>
      <c r="AE38" s="228">
        <v>8</v>
      </c>
      <c r="AF38" s="228">
        <v>2</v>
      </c>
      <c r="AG38" s="228">
        <v>12</v>
      </c>
      <c r="AH38" s="228">
        <v>8</v>
      </c>
      <c r="AI38" s="228">
        <v>2</v>
      </c>
      <c r="AJ38" s="228">
        <v>12</v>
      </c>
      <c r="AK38" s="228">
        <v>8</v>
      </c>
      <c r="AL38" s="228">
        <v>2</v>
      </c>
    </row>
    <row r="39" spans="1:38" ht="4.5" customHeight="1" x14ac:dyDescent="0.25">
      <c r="A39" s="376"/>
      <c r="B39" s="201"/>
      <c r="C39" s="201"/>
      <c r="D39" s="201"/>
      <c r="E39" s="201"/>
      <c r="F39" s="201"/>
      <c r="G39" s="380"/>
      <c r="J39" s="275"/>
      <c r="K39" s="200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V39" s="200"/>
      <c r="W39" s="200"/>
      <c r="X39" s="200"/>
      <c r="Y39" s="200"/>
      <c r="Z39" s="200"/>
      <c r="AA39" s="200"/>
      <c r="AB39" s="200"/>
      <c r="AC39" s="200"/>
      <c r="AD39" s="200"/>
      <c r="AE39" s="200"/>
      <c r="AF39" s="200"/>
      <c r="AG39" s="200"/>
      <c r="AH39" s="200"/>
      <c r="AI39" s="200"/>
      <c r="AJ39" s="200"/>
      <c r="AK39" s="200"/>
      <c r="AL39" s="276"/>
    </row>
    <row r="40" spans="1:38" ht="16.5" customHeight="1" x14ac:dyDescent="0.25">
      <c r="A40" s="449" t="s">
        <v>30</v>
      </c>
      <c r="B40" s="449"/>
      <c r="C40" s="131">
        <v>1</v>
      </c>
      <c r="D40" s="132">
        <v>2</v>
      </c>
      <c r="E40" s="133">
        <v>3</v>
      </c>
      <c r="F40" s="133">
        <v>4</v>
      </c>
      <c r="G40" s="133">
        <v>5</v>
      </c>
      <c r="J40" s="446" t="s">
        <v>393</v>
      </c>
      <c r="K40" s="446"/>
      <c r="L40" s="456">
        <v>0.3</v>
      </c>
      <c r="M40" s="456"/>
      <c r="N40" s="456"/>
      <c r="O40" s="456">
        <v>0.2</v>
      </c>
      <c r="P40" s="456"/>
      <c r="Q40" s="456"/>
      <c r="R40" s="456">
        <v>0.2</v>
      </c>
      <c r="S40" s="456"/>
      <c r="T40" s="456"/>
      <c r="U40" s="456">
        <v>0.2</v>
      </c>
      <c r="V40" s="456"/>
      <c r="W40" s="456"/>
      <c r="X40" s="456">
        <v>0.2</v>
      </c>
      <c r="Y40" s="456"/>
      <c r="Z40" s="456"/>
      <c r="AA40" s="456">
        <v>0.3</v>
      </c>
      <c r="AB40" s="456"/>
      <c r="AC40" s="456"/>
      <c r="AD40" s="456">
        <v>0.3</v>
      </c>
      <c r="AE40" s="456"/>
      <c r="AF40" s="456"/>
      <c r="AG40" s="456">
        <v>0.3</v>
      </c>
      <c r="AH40" s="456"/>
      <c r="AI40" s="456"/>
      <c r="AJ40" s="456">
        <v>0.3</v>
      </c>
      <c r="AK40" s="456"/>
      <c r="AL40" s="456"/>
    </row>
    <row r="41" spans="1:38" ht="16.5" customHeight="1" x14ac:dyDescent="0.25">
      <c r="A41" s="449"/>
      <c r="B41" s="449"/>
      <c r="C41" s="204"/>
      <c r="D41" s="204" t="s">
        <v>186</v>
      </c>
      <c r="E41" s="204" t="s">
        <v>31</v>
      </c>
      <c r="F41" s="204" t="s">
        <v>32</v>
      </c>
      <c r="G41" s="204" t="s">
        <v>33</v>
      </c>
      <c r="J41" s="446"/>
      <c r="K41" s="446"/>
      <c r="L41" s="277">
        <f>$F$62*(1+L40)</f>
        <v>5.7200000000000006</v>
      </c>
      <c r="M41" s="277">
        <f>$F$62*(1-L40)</f>
        <v>3.08</v>
      </c>
      <c r="N41" s="214"/>
      <c r="O41" s="277">
        <f>$F$62*(1+O40)</f>
        <v>5.28</v>
      </c>
      <c r="P41" s="277">
        <f>$F$62*(1-O40)</f>
        <v>3.5200000000000005</v>
      </c>
      <c r="Q41" s="214"/>
      <c r="R41" s="277">
        <f>$F$62*(1+R40)</f>
        <v>5.28</v>
      </c>
      <c r="S41" s="277">
        <f>$F$62*(1-R40)</f>
        <v>3.5200000000000005</v>
      </c>
      <c r="T41" s="214"/>
      <c r="U41" s="277">
        <f>$F$62*(1+U40)</f>
        <v>5.28</v>
      </c>
      <c r="V41" s="277">
        <f>$F$62*(1-U40)</f>
        <v>3.5200000000000005</v>
      </c>
      <c r="W41" s="214"/>
      <c r="X41" s="277">
        <f>$F$62*(1+X40)</f>
        <v>5.28</v>
      </c>
      <c r="Y41" s="277">
        <f>$F$62*(1-X40)</f>
        <v>3.5200000000000005</v>
      </c>
      <c r="Z41" s="214"/>
      <c r="AA41" s="277">
        <f>$F$62*(1+AA40)</f>
        <v>5.7200000000000006</v>
      </c>
      <c r="AB41" s="277">
        <f>$F$62*(1-AA40)</f>
        <v>3.08</v>
      </c>
      <c r="AC41" s="214"/>
      <c r="AD41" s="277">
        <f>$F$62*(1+AD40)</f>
        <v>5.7200000000000006</v>
      </c>
      <c r="AE41" s="277">
        <f>$F$62*(1-AD40)</f>
        <v>3.08</v>
      </c>
      <c r="AF41" s="214"/>
      <c r="AG41" s="277">
        <f>$F$62*(1+AG40)</f>
        <v>5.7200000000000006</v>
      </c>
      <c r="AH41" s="277">
        <f>$F$62*(1-AG40)</f>
        <v>3.08</v>
      </c>
      <c r="AI41" s="214"/>
      <c r="AJ41" s="277">
        <f>$F$62*(1+AJ40)</f>
        <v>5.7200000000000006</v>
      </c>
      <c r="AK41" s="277">
        <f>$F$62*(1-AJ40)</f>
        <v>3.08</v>
      </c>
      <c r="AL41" s="214"/>
    </row>
    <row r="42" spans="1:38" ht="16.5" customHeight="1" x14ac:dyDescent="0.25">
      <c r="A42" s="449"/>
      <c r="B42" s="449"/>
      <c r="C42" s="204"/>
      <c r="D42" s="204" t="s">
        <v>185</v>
      </c>
      <c r="E42" s="204" t="s">
        <v>34</v>
      </c>
      <c r="F42" s="204" t="s">
        <v>35</v>
      </c>
      <c r="G42" s="204" t="s">
        <v>33</v>
      </c>
    </row>
    <row r="43" spans="1:38" ht="6" customHeight="1" x14ac:dyDescent="0.25">
      <c r="A43" s="376"/>
      <c r="B43" s="201"/>
      <c r="C43" s="201"/>
      <c r="D43" s="201"/>
      <c r="E43" s="201"/>
      <c r="F43" s="201"/>
      <c r="G43" s="380"/>
    </row>
    <row r="44" spans="1:38" ht="16.5" customHeight="1" x14ac:dyDescent="0.25">
      <c r="A44" s="449" t="s">
        <v>36</v>
      </c>
      <c r="B44" s="449"/>
      <c r="C44" s="449"/>
      <c r="D44" s="449"/>
      <c r="E44" s="312" t="s">
        <v>37</v>
      </c>
      <c r="F44" s="211" t="s">
        <v>38</v>
      </c>
      <c r="G44" s="211" t="s">
        <v>39</v>
      </c>
      <c r="J44" s="446" t="s">
        <v>405</v>
      </c>
      <c r="K44" s="446"/>
      <c r="L44" s="214">
        <v>96</v>
      </c>
      <c r="M44" s="214"/>
      <c r="N44" s="214"/>
      <c r="O44" s="214">
        <v>96</v>
      </c>
      <c r="P44" s="214"/>
      <c r="Q44" s="214"/>
      <c r="R44" s="214">
        <v>97</v>
      </c>
      <c r="S44" s="214"/>
      <c r="T44" s="214"/>
      <c r="U44" s="214">
        <v>97</v>
      </c>
      <c r="V44" s="214"/>
      <c r="W44" s="214"/>
      <c r="X44" s="214">
        <v>97</v>
      </c>
      <c r="Y44" s="214"/>
      <c r="Z44" s="214"/>
      <c r="AA44" s="214">
        <v>98</v>
      </c>
      <c r="AB44" s="214"/>
      <c r="AC44" s="214"/>
      <c r="AD44" s="214">
        <v>98</v>
      </c>
      <c r="AE44" s="214"/>
      <c r="AF44" s="214"/>
      <c r="AG44" s="214">
        <v>98</v>
      </c>
      <c r="AH44" s="214"/>
      <c r="AI44" s="214"/>
      <c r="AJ44" s="214">
        <v>98</v>
      </c>
      <c r="AK44" s="214"/>
      <c r="AL44" s="214"/>
    </row>
    <row r="45" spans="1:38" ht="16.5" customHeight="1" x14ac:dyDescent="0.25">
      <c r="A45" s="475" t="s">
        <v>40</v>
      </c>
      <c r="B45" s="476"/>
      <c r="C45" s="476"/>
      <c r="D45" s="477"/>
      <c r="E45" s="229"/>
      <c r="F45" s="205">
        <v>53.7</v>
      </c>
      <c r="G45" s="230"/>
      <c r="H45" s="201"/>
      <c r="I45" s="201"/>
      <c r="J45" s="446"/>
      <c r="K45" s="446"/>
      <c r="L45" s="214">
        <v>98</v>
      </c>
      <c r="M45" s="214"/>
      <c r="N45" s="214"/>
      <c r="O45" s="214">
        <v>98</v>
      </c>
      <c r="P45" s="214"/>
      <c r="Q45" s="214"/>
      <c r="R45" s="214">
        <v>98</v>
      </c>
      <c r="S45" s="214"/>
      <c r="T45" s="214"/>
      <c r="U45" s="214">
        <v>98</v>
      </c>
      <c r="V45" s="214"/>
      <c r="W45" s="214"/>
      <c r="X45" s="214">
        <v>98</v>
      </c>
      <c r="Y45" s="214"/>
      <c r="Z45" s="214"/>
      <c r="AA45" s="214">
        <v>98</v>
      </c>
      <c r="AB45" s="214"/>
      <c r="AC45" s="214"/>
      <c r="AD45" s="214">
        <v>98</v>
      </c>
      <c r="AE45" s="214"/>
      <c r="AF45" s="214"/>
      <c r="AG45" s="214">
        <v>98</v>
      </c>
      <c r="AH45" s="214"/>
      <c r="AI45" s="214"/>
      <c r="AJ45" s="214">
        <v>98</v>
      </c>
      <c r="AK45" s="214"/>
      <c r="AL45" s="214"/>
    </row>
    <row r="46" spans="1:38" ht="16.5" customHeight="1" x14ac:dyDescent="0.25">
      <c r="A46" s="475" t="s">
        <v>41</v>
      </c>
      <c r="B46" s="476"/>
      <c r="C46" s="476"/>
      <c r="D46" s="477"/>
      <c r="E46" s="229"/>
      <c r="F46" s="206">
        <v>1.02</v>
      </c>
      <c r="G46" s="231"/>
      <c r="H46" s="201"/>
      <c r="I46" s="201"/>
      <c r="J46" s="446"/>
      <c r="K46" s="446"/>
      <c r="L46" s="214">
        <v>7.5</v>
      </c>
      <c r="M46" s="214"/>
      <c r="N46" s="214"/>
      <c r="O46" s="214">
        <v>7</v>
      </c>
      <c r="P46" s="214"/>
      <c r="Q46" s="214"/>
      <c r="R46" s="214">
        <v>6</v>
      </c>
      <c r="S46" s="214"/>
      <c r="T46" s="214"/>
      <c r="U46" s="214">
        <v>6</v>
      </c>
      <c r="V46" s="214"/>
      <c r="W46" s="214"/>
      <c r="X46" s="214">
        <v>9</v>
      </c>
      <c r="Y46" s="214"/>
      <c r="Z46" s="214"/>
      <c r="AA46" s="214">
        <v>5.5</v>
      </c>
      <c r="AB46" s="214"/>
      <c r="AC46" s="214"/>
      <c r="AD46" s="214">
        <v>5</v>
      </c>
      <c r="AE46" s="214"/>
      <c r="AF46" s="214"/>
      <c r="AG46" s="214">
        <v>5</v>
      </c>
      <c r="AH46" s="214"/>
      <c r="AI46" s="214"/>
      <c r="AJ46" s="214">
        <v>5</v>
      </c>
      <c r="AK46" s="214"/>
      <c r="AL46" s="214"/>
    </row>
    <row r="47" spans="1:38" ht="16.5" customHeight="1" x14ac:dyDescent="0.25">
      <c r="A47" s="475" t="s">
        <v>42</v>
      </c>
      <c r="B47" s="476"/>
      <c r="C47" s="476"/>
      <c r="D47" s="477"/>
      <c r="E47" s="229"/>
      <c r="F47" s="207">
        <v>0.67</v>
      </c>
      <c r="G47" s="229"/>
      <c r="H47" s="201"/>
      <c r="I47" s="201"/>
      <c r="J47" s="482" t="s">
        <v>411</v>
      </c>
      <c r="K47" s="482"/>
      <c r="L47" s="482"/>
      <c r="M47" s="283"/>
    </row>
    <row r="48" spans="1:38" ht="16.5" customHeight="1" x14ac:dyDescent="0.25">
      <c r="A48" s="475" t="s">
        <v>43</v>
      </c>
      <c r="B48" s="476"/>
      <c r="C48" s="476"/>
      <c r="D48" s="477"/>
      <c r="E48" s="229"/>
      <c r="F48" s="206">
        <v>2.6080000000000001</v>
      </c>
      <c r="G48" s="231"/>
      <c r="H48" s="201"/>
      <c r="I48" s="201"/>
      <c r="J48" s="374" t="s">
        <v>415</v>
      </c>
      <c r="K48" s="317" t="s">
        <v>412</v>
      </c>
      <c r="L48" s="374" t="s">
        <v>414</v>
      </c>
      <c r="M48" s="201"/>
    </row>
    <row r="49" spans="1:12" ht="16.5" customHeight="1" x14ac:dyDescent="0.25">
      <c r="A49" s="475" t="s">
        <v>44</v>
      </c>
      <c r="B49" s="476"/>
      <c r="C49" s="476"/>
      <c r="D49" s="477"/>
      <c r="E49" s="229"/>
      <c r="F49" s="206">
        <v>2.698</v>
      </c>
      <c r="G49" s="231"/>
      <c r="H49" s="201"/>
      <c r="I49" s="201"/>
      <c r="J49" s="317">
        <f>$C$9-$C$9*0.1</f>
        <v>63</v>
      </c>
      <c r="K49" s="317">
        <f>$C$9</f>
        <v>70</v>
      </c>
      <c r="L49" s="317">
        <f>$C$9+$C$9*0.1</f>
        <v>77</v>
      </c>
    </row>
    <row r="50" spans="1:12" ht="16.5" customHeight="1" x14ac:dyDescent="0.25">
      <c r="A50" s="475" t="s">
        <v>45</v>
      </c>
      <c r="B50" s="476"/>
      <c r="C50" s="476"/>
      <c r="D50" s="477"/>
      <c r="E50" s="229"/>
      <c r="F50" s="205">
        <v>57.4</v>
      </c>
      <c r="G50" s="230"/>
      <c r="H50" s="201"/>
      <c r="I50" s="201"/>
    </row>
    <row r="51" spans="1:12" ht="16.5" customHeight="1" x14ac:dyDescent="0.25">
      <c r="A51" s="475" t="s">
        <v>46</v>
      </c>
      <c r="B51" s="476"/>
      <c r="C51" s="476"/>
      <c r="D51" s="477"/>
      <c r="E51" s="229"/>
      <c r="F51" s="205">
        <v>37.1</v>
      </c>
      <c r="G51" s="230"/>
    </row>
    <row r="52" spans="1:12" ht="16.5" customHeight="1" x14ac:dyDescent="0.25">
      <c r="A52" s="475" t="s">
        <v>47</v>
      </c>
      <c r="B52" s="476"/>
      <c r="C52" s="476"/>
      <c r="D52" s="477"/>
      <c r="E52" s="229"/>
      <c r="F52" s="205">
        <v>5.5</v>
      </c>
      <c r="G52" s="230"/>
    </row>
    <row r="53" spans="1:12" ht="16.5" customHeight="1" x14ac:dyDescent="0.25">
      <c r="A53" s="475" t="s">
        <v>48</v>
      </c>
      <c r="B53" s="476"/>
      <c r="C53" s="476"/>
      <c r="D53" s="477"/>
      <c r="E53" s="194" t="str">
        <f xml:space="preserve">
IF(UPPER($C$6)="BİTÜMLÜ TEMEL",'KTŞ 2013'!$C$18,
IF(UPPER($C$6)="BİNDER",'KTŞ 2013'!$E$18,
IF(OR(UPPER($C$6)="AŞINMA",UPPER($C$6)="AŞINMA T3"),'KTŞ 2013'!$G$18,
IF(OR(UPPER($C$6)="TMA BİNDER",UPPER($C$6)="TMA AŞINMA"),'KTŞ 2013'!$K$18,
"LÜTFEN DİZAYNA AİT KTŞ'DE BELİRTİLEN TABAKA İSMİNİ GİRİNİZ"))))</f>
        <v>≤ 2,5</v>
      </c>
      <c r="F53" s="207">
        <v>2.5</v>
      </c>
      <c r="G53" s="229"/>
    </row>
    <row r="54" spans="1:12" ht="16.5" customHeight="1" x14ac:dyDescent="0.25">
      <c r="A54" s="475" t="s">
        <v>49</v>
      </c>
      <c r="B54" s="476"/>
      <c r="C54" s="476"/>
      <c r="D54" s="477"/>
      <c r="E54" s="229"/>
      <c r="F54" s="206">
        <v>2.653</v>
      </c>
      <c r="G54" s="231"/>
      <c r="H54" s="201"/>
      <c r="I54" s="201"/>
    </row>
    <row r="55" spans="1:12" ht="16.5" customHeight="1" x14ac:dyDescent="0.25">
      <c r="A55" s="475" t="s">
        <v>50</v>
      </c>
      <c r="B55" s="476"/>
      <c r="C55" s="476"/>
      <c r="D55" s="477"/>
      <c r="E55" s="229"/>
      <c r="F55" s="206">
        <v>2.6560000000000001</v>
      </c>
      <c r="G55" s="231"/>
      <c r="H55" s="201"/>
      <c r="I55" s="201"/>
    </row>
    <row r="56" spans="1:12" ht="16.5" customHeight="1" x14ac:dyDescent="0.25">
      <c r="A56" s="475" t="s">
        <v>51</v>
      </c>
      <c r="B56" s="476"/>
      <c r="C56" s="476"/>
      <c r="D56" s="477"/>
      <c r="E56" s="229"/>
      <c r="F56" s="208">
        <v>2.601</v>
      </c>
      <c r="G56" s="233"/>
      <c r="H56" s="201"/>
      <c r="I56" s="201"/>
    </row>
    <row r="57" spans="1:12" ht="16.5" customHeight="1" x14ac:dyDescent="0.25">
      <c r="A57" s="475" t="s">
        <v>52</v>
      </c>
      <c r="B57" s="476"/>
      <c r="C57" s="476"/>
      <c r="D57" s="477"/>
      <c r="E57" s="229"/>
      <c r="F57" s="208">
        <v>2.6930000000000001</v>
      </c>
      <c r="G57" s="233"/>
      <c r="H57" s="201"/>
      <c r="I57" s="201"/>
    </row>
    <row r="58" spans="1:12" ht="16.5" customHeight="1" x14ac:dyDescent="0.25">
      <c r="A58" s="475" t="s">
        <v>53</v>
      </c>
      <c r="B58" s="476"/>
      <c r="C58" s="476"/>
      <c r="D58" s="477"/>
      <c r="E58" s="229"/>
      <c r="F58" s="208">
        <v>2.6019999999999999</v>
      </c>
      <c r="G58" s="233"/>
      <c r="H58" s="201"/>
      <c r="I58" s="201"/>
    </row>
    <row r="59" spans="1:12" ht="16.5" customHeight="1" x14ac:dyDescent="0.25">
      <c r="A59" s="475" t="s">
        <v>54</v>
      </c>
      <c r="B59" s="476"/>
      <c r="C59" s="476"/>
      <c r="D59" s="477"/>
      <c r="E59" s="229"/>
      <c r="F59" s="208">
        <v>2.7029999999999998</v>
      </c>
      <c r="G59" s="233"/>
      <c r="H59" s="201"/>
      <c r="I59" s="201"/>
    </row>
    <row r="60" spans="1:12" ht="16.5" customHeight="1" x14ac:dyDescent="0.25">
      <c r="A60" s="475" t="s">
        <v>55</v>
      </c>
      <c r="B60" s="476"/>
      <c r="C60" s="476"/>
      <c r="D60" s="477"/>
      <c r="E60" s="229"/>
      <c r="F60" s="208">
        <v>2.7210000000000001</v>
      </c>
      <c r="G60" s="233"/>
      <c r="H60" s="201"/>
      <c r="I60" s="201"/>
    </row>
    <row r="61" spans="1:12" ht="16.5" customHeight="1" x14ac:dyDescent="0.25">
      <c r="A61" s="475" t="s">
        <v>56</v>
      </c>
      <c r="B61" s="476"/>
      <c r="C61" s="476"/>
      <c r="D61" s="477"/>
      <c r="E61" s="232">
        <v>1150</v>
      </c>
      <c r="F61" s="229"/>
      <c r="G61" s="233"/>
      <c r="H61" s="201"/>
      <c r="I61" s="201"/>
    </row>
    <row r="62" spans="1:12" ht="16.5" customHeight="1" x14ac:dyDescent="0.25">
      <c r="A62" s="309" t="s">
        <v>375</v>
      </c>
      <c r="B62" s="310"/>
      <c r="C62" s="310"/>
      <c r="D62" s="311"/>
      <c r="E62" s="196" t="str">
        <f xml:space="preserve">
IF(UPPER($C$6)="BİTÜMLÜ TEMEL",'KTŞ 2013'!C32&amp;"-"&amp;'KTŞ 2013'!$D$32,
IF(UPPER($C$6)="BİNDER",'KTŞ 2013'!$E$32&amp;"-"&amp;'KTŞ 2013'!$F$32,
IF(UPPER($C$6)="AŞINMA",'KTŞ 2013'!$G$32&amp;"-"&amp;'KTŞ 2013'!$H$32,
IF(UPPER($C$6)="AŞINMA T3",'KTŞ 2013'!$I$32&amp;"-"&amp;'KTŞ 2013'!$J$32,
"LÜTFEN DİZAYNA AİT KTŞ'DE BELİRTİLEN TABAKA İSMİNİ GİRİNİZ"))))</f>
        <v>3,5-6,5</v>
      </c>
      <c r="F62" s="207">
        <v>4.4000000000000004</v>
      </c>
      <c r="G62" s="233"/>
      <c r="H62" s="201"/>
      <c r="I62" s="201"/>
    </row>
    <row r="63" spans="1:12" ht="16.5" customHeight="1" x14ac:dyDescent="0.25">
      <c r="A63" s="475" t="s">
        <v>57</v>
      </c>
      <c r="B63" s="476"/>
      <c r="C63" s="476"/>
      <c r="D63" s="477"/>
      <c r="E63" s="229"/>
      <c r="F63" s="207">
        <v>4.5999999999999996</v>
      </c>
      <c r="G63" s="229"/>
      <c r="H63" s="201"/>
      <c r="I63" s="201"/>
      <c r="J63" s="201"/>
    </row>
    <row r="64" spans="1:12" ht="16.5" customHeight="1" x14ac:dyDescent="0.25">
      <c r="A64" s="475" t="s">
        <v>58</v>
      </c>
      <c r="B64" s="476"/>
      <c r="C64" s="476"/>
      <c r="D64" s="477"/>
      <c r="E64" s="229"/>
      <c r="F64" s="206">
        <v>2.371</v>
      </c>
      <c r="G64" s="206">
        <v>2.371</v>
      </c>
      <c r="H64" s="201"/>
      <c r="I64" s="201"/>
      <c r="J64" s="201"/>
    </row>
    <row r="65" spans="1:9" ht="16.5" customHeight="1" x14ac:dyDescent="0.25">
      <c r="A65" s="475" t="s">
        <v>59</v>
      </c>
      <c r="B65" s="476"/>
      <c r="C65" s="476"/>
      <c r="D65" s="477"/>
      <c r="E65" s="196" t="str">
        <f xml:space="preserve">
IF(UPPER($C$6)="BİTÜMLÜ TEMEL",'KTŞ 2013'!C27&amp;"-"&amp;'KTŞ 2013'!$D$27,
IF(UPPER($C$6)="BİNDER",'KTŞ 2013'!$E$27&amp;"-"&amp;'KTŞ 2013'!$F$27,
IF(UPPER($C$6)="AŞINMA",'KTŞ 2013'!$G$27&amp;"-"&amp;'KTŞ 2013'!$H$27,
IF(UPPER($C$6)="AŞINMA T3",'KTŞ 2013'!$I$27&amp;"-"&amp;'KTŞ 2013'!$J$27,
"LÜTFEN DİZAYNA AİT KTŞ'DE BELİRTİLEN TABAKA İSMİNİ GİRİNİZ"))))</f>
        <v>4-6</v>
      </c>
      <c r="F65" s="208">
        <v>4.3600000000000003</v>
      </c>
      <c r="G65" s="229"/>
      <c r="H65" s="201"/>
      <c r="I65" s="201"/>
    </row>
    <row r="66" spans="1:9" ht="16.5" customHeight="1" x14ac:dyDescent="0.25">
      <c r="A66" s="475" t="s">
        <v>60</v>
      </c>
      <c r="B66" s="476"/>
      <c r="C66" s="476"/>
      <c r="D66" s="477"/>
      <c r="E66" s="209" t="str">
        <f xml:space="preserve">
IF(UPPER($C$6)="BİTÜMLÜ TEMEL",'KTŞ 2013'!C29&amp;"-"&amp;'KTŞ 2013'!$D$29,
IF(UPPER($C$6)="BİNDER",'KTŞ 2013'!$E$29&amp;"-"&amp;'KTŞ 2013'!$F$29,
IF(UPPER($C$6)="AŞINMA",'KTŞ 2013'!$G$29&amp;"-"&amp;'KTŞ 2013'!$H$29,
IF(UPPER($C$6)="AŞINMA T3",'KTŞ 2013'!$I$29&amp;"-"&amp;'KTŞ 2013'!$J$29,
"LÜTFEN DİZAYNA AİT KTŞ'DE BELİRTİLEN TABAKA İSMİNİ GİRİNİZ"))))</f>
        <v>13-15</v>
      </c>
      <c r="F66" s="208">
        <v>13.09</v>
      </c>
      <c r="G66" s="229"/>
      <c r="H66" s="201"/>
      <c r="I66" s="201"/>
    </row>
    <row r="67" spans="1:9" ht="16.5" customHeight="1" x14ac:dyDescent="0.25">
      <c r="A67" s="475" t="s">
        <v>385</v>
      </c>
      <c r="B67" s="476"/>
      <c r="C67" s="476"/>
      <c r="D67" s="477"/>
      <c r="E67" s="209" t="str">
        <f xml:space="preserve">
IF(UPPER($C$6)="BİTÜMLÜ TEMEL",'KTŞ 2013'!C28&amp;"-"&amp;'KTŞ 2013'!$D$28,
IF(UPPER($C$6)="BİNDER",'KTŞ 2013'!$E$28&amp;"-"&amp;'KTŞ 2013'!$F$28,
IF(UPPER($C$6)="AŞINMA",'KTŞ 2013'!$G$28&amp;"-"&amp;'KTŞ 2013'!$H$28,
IF(UPPER($C$6)="AŞINMA T3",'KTŞ 2013'!$I$28&amp;"-"&amp;'KTŞ 2013'!$J$28,
"LÜTFEN DİZAYNA AİT KTŞ'DE BELİRTİLEN TABAKA İSMİNİ GİRİNİZ"))))</f>
        <v>60-75</v>
      </c>
      <c r="F67" s="208">
        <v>66.69</v>
      </c>
      <c r="G67" s="229"/>
      <c r="H67" s="201"/>
      <c r="I67" s="201"/>
    </row>
    <row r="68" spans="1:9" ht="16.5" customHeight="1" x14ac:dyDescent="0.25">
      <c r="A68" s="475" t="s">
        <v>61</v>
      </c>
      <c r="B68" s="476"/>
      <c r="C68" s="476"/>
      <c r="D68" s="477"/>
      <c r="E68" s="212" t="str">
        <f xml:space="preserve">
IF(UPPER($C$6)="BİTÜMLÜ TEMEL",'KTŞ 2013'!C30&amp;"-"&amp;'KTŞ 2013'!$D$30,
IF(UPPER($C$6)="BİNDER",'KTŞ 2013'!$E$30&amp;"-"&amp;'KTŞ 2013'!$F$30,
IF(UPPER($C$6)="AŞINMA",'KTŞ 2013'!$G$30&amp;"-"&amp;'KTŞ 2013'!$H$30,
IF(UPPER($C$6)="AŞINMA T3",'KTŞ 2013'!$I$30&amp;"-"&amp;'KTŞ 2013'!$J$30,
"LÜTFEN DİZAYNA AİT KTŞ'DE BELİRTİLEN TABAKA İSMİNİ GİRİNİZ"))))</f>
        <v>2-4</v>
      </c>
      <c r="F68" s="208">
        <v>3.25</v>
      </c>
      <c r="G68" s="229"/>
      <c r="H68" s="201"/>
      <c r="I68" s="201"/>
    </row>
    <row r="69" spans="1:9" ht="16.5" customHeight="1" x14ac:dyDescent="0.25">
      <c r="A69" s="475" t="s">
        <v>62</v>
      </c>
      <c r="B69" s="476"/>
      <c r="C69" s="476"/>
      <c r="D69" s="477"/>
      <c r="E69" s="209" t="str">
        <f>"min. "&amp;
IF(UPPER($C$6)="BİTÜMLÜ TEMEL",'KTŞ 2013'!$C$26,
IF(UPPER($C$6)="BİNDER",'KTŞ 2013'!$E$26,
IF(UPPER($C$6)="AŞINMA",'KTŞ 2013'!$G$26,
IF(UPPER($C$6)="AŞINMA T3",'KTŞ 2013'!$I$26,
"LÜTFEN DİZAYNA AİT KTŞ'DE BELİRTİLEN TABAKA İSMİNİ GİRİNİZ"))))</f>
        <v>min. 750</v>
      </c>
      <c r="F69" s="208">
        <v>1175</v>
      </c>
      <c r="G69" s="229"/>
      <c r="H69" s="201"/>
      <c r="I69" s="201"/>
    </row>
    <row r="70" spans="1:9" ht="30" customHeight="1" x14ac:dyDescent="0.25">
      <c r="A70" s="484" t="s">
        <v>263</v>
      </c>
      <c r="B70" s="485"/>
      <c r="C70" s="485"/>
      <c r="D70" s="485"/>
      <c r="E70" s="485"/>
      <c r="F70" s="485"/>
      <c r="G70" s="486"/>
      <c r="H70" s="203"/>
      <c r="I70" s="203"/>
    </row>
    <row r="71" spans="1:9" x14ac:dyDescent="0.25">
      <c r="B71" s="203"/>
      <c r="C71" s="203"/>
      <c r="D71" s="203"/>
      <c r="E71" s="203"/>
      <c r="F71" s="203"/>
      <c r="G71" s="203"/>
      <c r="H71" s="203"/>
      <c r="I71" s="203"/>
    </row>
    <row r="72" spans="1:9" x14ac:dyDescent="0.25">
      <c r="B72" s="483"/>
      <c r="C72" s="483"/>
      <c r="D72" s="483"/>
      <c r="E72" s="483"/>
      <c r="F72" s="210"/>
      <c r="G72" s="201"/>
    </row>
    <row r="73" spans="1:9" x14ac:dyDescent="0.25">
      <c r="B73" s="483"/>
      <c r="C73" s="483"/>
      <c r="D73" s="483"/>
      <c r="E73" s="483"/>
      <c r="F73" s="210"/>
      <c r="G73" s="201"/>
    </row>
    <row r="74" spans="1:9" x14ac:dyDescent="0.25">
      <c r="B74" s="483"/>
      <c r="C74" s="483"/>
      <c r="D74" s="483"/>
      <c r="E74" s="483"/>
      <c r="F74" s="210"/>
      <c r="G74" s="201"/>
    </row>
    <row r="75" spans="1:9" x14ac:dyDescent="0.25">
      <c r="B75" s="483"/>
      <c r="C75" s="483"/>
      <c r="D75" s="483"/>
      <c r="E75" s="483"/>
      <c r="F75" s="210"/>
      <c r="G75" s="201"/>
    </row>
    <row r="76" spans="1:9" x14ac:dyDescent="0.25">
      <c r="B76" s="201"/>
      <c r="C76" s="201"/>
      <c r="D76" s="201"/>
      <c r="E76" s="201"/>
      <c r="F76" s="201"/>
      <c r="G76" s="201"/>
    </row>
  </sheetData>
  <sheetProtection password="CC3D" sheet="1" objects="1" scenarios="1"/>
  <mergeCells count="104">
    <mergeCell ref="J47:L47"/>
    <mergeCell ref="B72:E72"/>
    <mergeCell ref="B73:E73"/>
    <mergeCell ref="B74:E74"/>
    <mergeCell ref="B75:E75"/>
    <mergeCell ref="A65:D65"/>
    <mergeCell ref="A66:D66"/>
    <mergeCell ref="A67:D67"/>
    <mergeCell ref="A68:D68"/>
    <mergeCell ref="A69:D69"/>
    <mergeCell ref="A70:G70"/>
    <mergeCell ref="A64:D64"/>
    <mergeCell ref="A52:D52"/>
    <mergeCell ref="A53:D53"/>
    <mergeCell ref="A54:D54"/>
    <mergeCell ref="A55:D55"/>
    <mergeCell ref="A56:D56"/>
    <mergeCell ref="A57:D57"/>
    <mergeCell ref="A58:D58"/>
    <mergeCell ref="A59:D59"/>
    <mergeCell ref="A60:D60"/>
    <mergeCell ref="A61:D61"/>
    <mergeCell ref="A63:D63"/>
    <mergeCell ref="A22:B23"/>
    <mergeCell ref="C22:E22"/>
    <mergeCell ref="F22:G23"/>
    <mergeCell ref="C23:E23"/>
    <mergeCell ref="A24:B25"/>
    <mergeCell ref="C24:E24"/>
    <mergeCell ref="F24:G25"/>
    <mergeCell ref="C25:E25"/>
    <mergeCell ref="A51:D51"/>
    <mergeCell ref="A27:B28"/>
    <mergeCell ref="C27:D27"/>
    <mergeCell ref="E27:F27"/>
    <mergeCell ref="A40:B42"/>
    <mergeCell ref="A44:D44"/>
    <mergeCell ref="A45:D45"/>
    <mergeCell ref="A46:D46"/>
    <mergeCell ref="A47:D47"/>
    <mergeCell ref="A48:D48"/>
    <mergeCell ref="A49:D49"/>
    <mergeCell ref="A50:D50"/>
    <mergeCell ref="A16:B17"/>
    <mergeCell ref="C16:E16"/>
    <mergeCell ref="F16:G17"/>
    <mergeCell ref="C17:E17"/>
    <mergeCell ref="A18:B19"/>
    <mergeCell ref="C18:E18"/>
    <mergeCell ref="F18:G19"/>
    <mergeCell ref="C19:E19"/>
    <mergeCell ref="A20:B21"/>
    <mergeCell ref="C20:E20"/>
    <mergeCell ref="F20:G21"/>
    <mergeCell ref="C21:E21"/>
    <mergeCell ref="A10:B10"/>
    <mergeCell ref="A12:G12"/>
    <mergeCell ref="A13:B13"/>
    <mergeCell ref="C13:E13"/>
    <mergeCell ref="F13:G13"/>
    <mergeCell ref="C10:G10"/>
    <mergeCell ref="A14:B15"/>
    <mergeCell ref="C14:E14"/>
    <mergeCell ref="F14:G15"/>
    <mergeCell ref="C15:E15"/>
    <mergeCell ref="A9:B9"/>
    <mergeCell ref="A1:G1"/>
    <mergeCell ref="A2:G2"/>
    <mergeCell ref="A3:B3"/>
    <mergeCell ref="A4:B4"/>
    <mergeCell ref="A6:B6"/>
    <mergeCell ref="A8:B8"/>
    <mergeCell ref="A5:B5"/>
    <mergeCell ref="A7:B7"/>
    <mergeCell ref="C4:G4"/>
    <mergeCell ref="C5:G5"/>
    <mergeCell ref="C6:G6"/>
    <mergeCell ref="C7:G7"/>
    <mergeCell ref="C8:G8"/>
    <mergeCell ref="C9:G9"/>
    <mergeCell ref="X27:Z27"/>
    <mergeCell ref="AA27:AC27"/>
    <mergeCell ref="AD27:AF27"/>
    <mergeCell ref="AG27:AI27"/>
    <mergeCell ref="AJ27:AL27"/>
    <mergeCell ref="L40:N40"/>
    <mergeCell ref="O40:Q40"/>
    <mergeCell ref="R40:T40"/>
    <mergeCell ref="U40:W40"/>
    <mergeCell ref="X40:Z40"/>
    <mergeCell ref="AA40:AC40"/>
    <mergeCell ref="AD40:AF40"/>
    <mergeCell ref="AG40:AI40"/>
    <mergeCell ref="AJ40:AL40"/>
    <mergeCell ref="J44:K46"/>
    <mergeCell ref="G27:G28"/>
    <mergeCell ref="P24:W25"/>
    <mergeCell ref="L24:O24"/>
    <mergeCell ref="J40:K41"/>
    <mergeCell ref="L27:N27"/>
    <mergeCell ref="O27:Q27"/>
    <mergeCell ref="R27:T27"/>
    <mergeCell ref="U27:W27"/>
    <mergeCell ref="J27:K28"/>
  </mergeCells>
  <pageMargins left="0.70866141732283472" right="0.70866141732283472" top="0.74803149606299213" bottom="0.74803149606299213" header="0.31496062992125984" footer="0.31496062992125984"/>
  <pageSetup paperSize="9" scale="69" orientation="portrait" r:id="rId1"/>
  <ignoredErrors>
    <ignoredError sqref="D41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8"/>
  <sheetViews>
    <sheetView showGridLines="0" zoomScale="85" zoomScaleNormal="85" zoomScaleSheetLayoutView="100" workbookViewId="0">
      <selection activeCell="BJ23" sqref="BJ23"/>
    </sheetView>
  </sheetViews>
  <sheetFormatPr defaultColWidth="2.7109375" defaultRowHeight="14.1" customHeight="1" x14ac:dyDescent="0.25"/>
  <cols>
    <col min="1" max="1" width="2.7109375" style="134"/>
    <col min="2" max="2" width="2.7109375" style="221"/>
    <col min="3" max="11" width="2.7109375" style="134"/>
    <col min="12" max="13" width="2.7109375" style="221"/>
    <col min="14" max="20" width="2.7109375" style="134"/>
    <col min="21" max="21" width="2.7109375" style="134" customWidth="1"/>
    <col min="22" max="23" width="2.7109375" style="134"/>
    <col min="24" max="25" width="2.7109375" style="221"/>
    <col min="26" max="27" width="2.7109375" style="221" customWidth="1"/>
    <col min="28" max="32" width="2.7109375" style="221"/>
    <col min="33" max="37" width="2.7109375" style="221" customWidth="1"/>
    <col min="38" max="38" width="2.7109375" style="221"/>
    <col min="39" max="39" width="8.85546875" style="224" customWidth="1"/>
    <col min="40" max="49" width="8.85546875" style="141" customWidth="1"/>
    <col min="50" max="16384" width="2.7109375" style="134"/>
  </cols>
  <sheetData>
    <row r="1" spans="1:83" ht="14.1" customHeight="1" x14ac:dyDescent="0.25">
      <c r="A1" s="565"/>
      <c r="B1" s="558"/>
      <c r="C1" s="558"/>
      <c r="D1" s="558"/>
      <c r="E1" s="558"/>
      <c r="F1" s="558"/>
      <c r="G1" s="558"/>
      <c r="H1" s="558"/>
      <c r="I1" s="558"/>
      <c r="J1" s="558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555"/>
      <c r="V1" s="555"/>
      <c r="W1" s="555"/>
      <c r="X1" s="558"/>
      <c r="Y1" s="558"/>
      <c r="Z1" s="558"/>
      <c r="AA1" s="558"/>
      <c r="AB1" s="558"/>
      <c r="AC1" s="558"/>
      <c r="AD1" s="558"/>
      <c r="AE1" s="558"/>
      <c r="AF1" s="558"/>
      <c r="AG1" s="559"/>
      <c r="AH1" s="290"/>
      <c r="AI1" s="353"/>
      <c r="AJ1" s="353"/>
      <c r="AK1" s="353"/>
      <c r="AL1" s="354"/>
      <c r="AM1" s="523" t="s">
        <v>268</v>
      </c>
      <c r="AN1" s="524"/>
      <c r="AO1" s="524"/>
      <c r="AP1" s="524"/>
      <c r="AQ1" s="524"/>
      <c r="AR1" s="524"/>
      <c r="AS1" s="524"/>
      <c r="AT1" s="524"/>
      <c r="AU1" s="524"/>
      <c r="AV1" s="524"/>
      <c r="AW1" s="524"/>
    </row>
    <row r="2" spans="1:83" ht="14.1" customHeight="1" x14ac:dyDescent="0.25">
      <c r="A2" s="566"/>
      <c r="B2" s="560"/>
      <c r="C2" s="560"/>
      <c r="D2" s="560"/>
      <c r="E2" s="560"/>
      <c r="F2" s="560"/>
      <c r="G2" s="560"/>
      <c r="H2" s="560"/>
      <c r="I2" s="560"/>
      <c r="J2" s="560"/>
      <c r="K2" s="556"/>
      <c r="L2" s="556"/>
      <c r="M2" s="556"/>
      <c r="N2" s="556"/>
      <c r="O2" s="556"/>
      <c r="P2" s="556"/>
      <c r="Q2" s="556"/>
      <c r="R2" s="556"/>
      <c r="S2" s="556"/>
      <c r="T2" s="556"/>
      <c r="U2" s="556"/>
      <c r="V2" s="556"/>
      <c r="W2" s="556"/>
      <c r="X2" s="560"/>
      <c r="Y2" s="560"/>
      <c r="Z2" s="560"/>
      <c r="AA2" s="560"/>
      <c r="AB2" s="560"/>
      <c r="AC2" s="560"/>
      <c r="AD2" s="560"/>
      <c r="AE2" s="560"/>
      <c r="AF2" s="560"/>
      <c r="AG2" s="561"/>
      <c r="AH2" s="290"/>
      <c r="AI2" s="353"/>
      <c r="AJ2" s="353"/>
      <c r="AK2" s="353"/>
      <c r="AL2" s="354"/>
      <c r="AM2" s="525"/>
      <c r="AN2" s="526"/>
      <c r="AO2" s="526"/>
      <c r="AP2" s="526"/>
      <c r="AQ2" s="526"/>
      <c r="AR2" s="526"/>
      <c r="AS2" s="526"/>
      <c r="AT2" s="526"/>
      <c r="AU2" s="526"/>
      <c r="AV2" s="526"/>
      <c r="AW2" s="526"/>
    </row>
    <row r="3" spans="1:83" ht="14.1" customHeight="1" x14ac:dyDescent="0.25">
      <c r="A3" s="566"/>
      <c r="B3" s="560"/>
      <c r="C3" s="560"/>
      <c r="D3" s="560"/>
      <c r="E3" s="560"/>
      <c r="F3" s="560"/>
      <c r="G3" s="560"/>
      <c r="H3" s="560"/>
      <c r="I3" s="560"/>
      <c r="J3" s="560"/>
      <c r="K3" s="556"/>
      <c r="L3" s="556"/>
      <c r="M3" s="556"/>
      <c r="N3" s="556"/>
      <c r="O3" s="556"/>
      <c r="P3" s="556"/>
      <c r="Q3" s="556"/>
      <c r="R3" s="556"/>
      <c r="S3" s="556"/>
      <c r="T3" s="556"/>
      <c r="U3" s="556"/>
      <c r="V3" s="556"/>
      <c r="W3" s="556"/>
      <c r="X3" s="560"/>
      <c r="Y3" s="560"/>
      <c r="Z3" s="560"/>
      <c r="AA3" s="560"/>
      <c r="AB3" s="560"/>
      <c r="AC3" s="560"/>
      <c r="AD3" s="560"/>
      <c r="AE3" s="560"/>
      <c r="AF3" s="560"/>
      <c r="AG3" s="561"/>
      <c r="AH3" s="290"/>
      <c r="AI3" s="353"/>
      <c r="AJ3" s="353"/>
      <c r="AK3" s="353"/>
      <c r="AL3" s="354"/>
      <c r="AM3" s="525"/>
      <c r="AN3" s="526"/>
      <c r="AO3" s="526"/>
      <c r="AP3" s="526"/>
      <c r="AQ3" s="526"/>
      <c r="AR3" s="526"/>
      <c r="AS3" s="526"/>
      <c r="AT3" s="526"/>
      <c r="AU3" s="526"/>
      <c r="AV3" s="526"/>
      <c r="AW3" s="526"/>
    </row>
    <row r="4" spans="1:83" ht="14.1" customHeight="1" x14ac:dyDescent="0.25">
      <c r="A4" s="566"/>
      <c r="B4" s="560"/>
      <c r="C4" s="560"/>
      <c r="D4" s="560"/>
      <c r="E4" s="560"/>
      <c r="F4" s="560"/>
      <c r="G4" s="560"/>
      <c r="H4" s="560"/>
      <c r="I4" s="560"/>
      <c r="J4" s="560"/>
      <c r="K4" s="556"/>
      <c r="L4" s="556"/>
      <c r="M4" s="556"/>
      <c r="N4" s="556"/>
      <c r="O4" s="556"/>
      <c r="P4" s="556"/>
      <c r="Q4" s="556"/>
      <c r="R4" s="556"/>
      <c r="S4" s="556"/>
      <c r="T4" s="556"/>
      <c r="U4" s="556"/>
      <c r="V4" s="556"/>
      <c r="W4" s="556"/>
      <c r="X4" s="560"/>
      <c r="Y4" s="560"/>
      <c r="Z4" s="560"/>
      <c r="AA4" s="560"/>
      <c r="AB4" s="560"/>
      <c r="AC4" s="560"/>
      <c r="AD4" s="560"/>
      <c r="AE4" s="560"/>
      <c r="AF4" s="560"/>
      <c r="AG4" s="561"/>
      <c r="AH4" s="290"/>
      <c r="AI4" s="353"/>
      <c r="AJ4" s="353"/>
      <c r="AK4" s="353"/>
      <c r="AL4" s="354"/>
      <c r="AM4" s="525"/>
      <c r="AN4" s="526"/>
      <c r="AO4" s="526"/>
      <c r="AP4" s="526"/>
      <c r="AQ4" s="526"/>
      <c r="AR4" s="526"/>
      <c r="AS4" s="526"/>
      <c r="AT4" s="526"/>
      <c r="AU4" s="526"/>
      <c r="AV4" s="526"/>
      <c r="AW4" s="526"/>
    </row>
    <row r="5" spans="1:83" ht="14.1" customHeight="1" x14ac:dyDescent="0.25">
      <c r="A5" s="566"/>
      <c r="B5" s="560"/>
      <c r="C5" s="560"/>
      <c r="D5" s="560"/>
      <c r="E5" s="560"/>
      <c r="F5" s="560"/>
      <c r="G5" s="560"/>
      <c r="H5" s="560"/>
      <c r="I5" s="560"/>
      <c r="J5" s="560"/>
      <c r="K5" s="556"/>
      <c r="L5" s="556"/>
      <c r="M5" s="556"/>
      <c r="N5" s="556"/>
      <c r="O5" s="556"/>
      <c r="P5" s="556"/>
      <c r="Q5" s="556"/>
      <c r="R5" s="556"/>
      <c r="S5" s="556"/>
      <c r="T5" s="556"/>
      <c r="U5" s="556"/>
      <c r="V5" s="556"/>
      <c r="W5" s="556"/>
      <c r="X5" s="560"/>
      <c r="Y5" s="560"/>
      <c r="Z5" s="560"/>
      <c r="AA5" s="560"/>
      <c r="AB5" s="560"/>
      <c r="AC5" s="560"/>
      <c r="AD5" s="560"/>
      <c r="AE5" s="560"/>
      <c r="AF5" s="560"/>
      <c r="AG5" s="561"/>
      <c r="AH5" s="290"/>
      <c r="AI5" s="353"/>
      <c r="AJ5" s="353"/>
      <c r="AK5" s="353"/>
      <c r="AL5" s="354"/>
      <c r="AM5" s="525"/>
      <c r="AN5" s="526"/>
      <c r="AO5" s="526"/>
      <c r="AP5" s="526"/>
      <c r="AQ5" s="526"/>
      <c r="AR5" s="526"/>
      <c r="AS5" s="526"/>
      <c r="AT5" s="526"/>
      <c r="AU5" s="526"/>
      <c r="AV5" s="526"/>
      <c r="AW5" s="526"/>
    </row>
    <row r="6" spans="1:83" ht="14.1" customHeight="1" x14ac:dyDescent="0.25">
      <c r="A6" s="567"/>
      <c r="B6" s="562"/>
      <c r="C6" s="562"/>
      <c r="D6" s="562"/>
      <c r="E6" s="562"/>
      <c r="F6" s="562"/>
      <c r="G6" s="562"/>
      <c r="H6" s="562"/>
      <c r="I6" s="562"/>
      <c r="J6" s="562"/>
      <c r="K6" s="557"/>
      <c r="L6" s="557"/>
      <c r="M6" s="557"/>
      <c r="N6" s="557"/>
      <c r="O6" s="557"/>
      <c r="P6" s="557"/>
      <c r="Q6" s="557"/>
      <c r="R6" s="557"/>
      <c r="S6" s="557"/>
      <c r="T6" s="557"/>
      <c r="U6" s="557"/>
      <c r="V6" s="557"/>
      <c r="W6" s="557"/>
      <c r="X6" s="562"/>
      <c r="Y6" s="562"/>
      <c r="Z6" s="562"/>
      <c r="AA6" s="562"/>
      <c r="AB6" s="562"/>
      <c r="AC6" s="562"/>
      <c r="AD6" s="562"/>
      <c r="AE6" s="562"/>
      <c r="AF6" s="562"/>
      <c r="AG6" s="563"/>
      <c r="AH6" s="290"/>
      <c r="AI6" s="353"/>
      <c r="AJ6" s="353"/>
      <c r="AK6" s="353"/>
      <c r="AL6" s="354"/>
      <c r="AM6" s="527"/>
      <c r="AN6" s="528"/>
      <c r="AO6" s="528"/>
      <c r="AP6" s="528"/>
      <c r="AQ6" s="528"/>
      <c r="AR6" s="528"/>
      <c r="AS6" s="528"/>
      <c r="AT6" s="528"/>
      <c r="AU6" s="528"/>
      <c r="AV6" s="528"/>
      <c r="AW6" s="528"/>
    </row>
    <row r="7" spans="1:83" ht="14.1" customHeight="1" x14ac:dyDescent="0.25">
      <c r="A7" s="541" t="s">
        <v>267</v>
      </c>
      <c r="B7" s="542"/>
      <c r="C7" s="542"/>
      <c r="D7" s="542"/>
      <c r="E7" s="542"/>
      <c r="F7" s="542"/>
      <c r="G7" s="545" t="str">
        <f>PROPER(Dizayn!$C$4)</f>
        <v>Keşan Ayrımı - Korudağı - Gelibolu Bölünmüş Yolu İşi</v>
      </c>
      <c r="H7" s="546"/>
      <c r="I7" s="546"/>
      <c r="J7" s="546"/>
      <c r="K7" s="546"/>
      <c r="L7" s="546"/>
      <c r="M7" s="546"/>
      <c r="N7" s="546"/>
      <c r="O7" s="546"/>
      <c r="P7" s="546"/>
      <c r="Q7" s="546"/>
      <c r="R7" s="546"/>
      <c r="S7" s="546"/>
      <c r="T7" s="547"/>
      <c r="U7" s="542" t="s">
        <v>97</v>
      </c>
      <c r="V7" s="542"/>
      <c r="W7" s="542"/>
      <c r="X7" s="542"/>
      <c r="Y7" s="542"/>
      <c r="Z7" s="532">
        <f>'5 BSK'!$S$8</f>
        <v>41750</v>
      </c>
      <c r="AA7" s="533"/>
      <c r="AB7" s="533"/>
      <c r="AC7" s="533"/>
      <c r="AD7" s="533"/>
      <c r="AE7" s="533"/>
      <c r="AF7" s="533"/>
      <c r="AG7" s="532"/>
      <c r="AH7" s="304"/>
      <c r="AI7" s="355"/>
      <c r="AJ7" s="355"/>
      <c r="AK7" s="355"/>
      <c r="AL7" s="354"/>
      <c r="AM7" s="490">
        <f>Dizayn!$C$41</f>
        <v>0</v>
      </c>
      <c r="AN7" s="490"/>
      <c r="AO7" s="490"/>
      <c r="AP7" s="490"/>
      <c r="AQ7" s="490"/>
      <c r="AR7" s="531"/>
      <c r="AS7" s="490" t="str">
        <f>Dizayn!$D$41</f>
        <v>12-25</v>
      </c>
      <c r="AT7" s="490"/>
      <c r="AU7" s="490"/>
      <c r="AV7" s="490"/>
      <c r="AW7" s="490"/>
    </row>
    <row r="8" spans="1:83" ht="14.1" customHeight="1" x14ac:dyDescent="0.25">
      <c r="A8" s="543"/>
      <c r="B8" s="544"/>
      <c r="C8" s="544"/>
      <c r="D8" s="544"/>
      <c r="E8" s="544"/>
      <c r="F8" s="544"/>
      <c r="G8" s="548"/>
      <c r="H8" s="549"/>
      <c r="I8" s="549"/>
      <c r="J8" s="549"/>
      <c r="K8" s="549"/>
      <c r="L8" s="549"/>
      <c r="M8" s="549"/>
      <c r="N8" s="549"/>
      <c r="O8" s="549"/>
      <c r="P8" s="549"/>
      <c r="Q8" s="549"/>
      <c r="R8" s="549"/>
      <c r="S8" s="549"/>
      <c r="T8" s="550"/>
      <c r="U8" s="544" t="s">
        <v>272</v>
      </c>
      <c r="V8" s="544"/>
      <c r="W8" s="544"/>
      <c r="X8" s="544"/>
      <c r="Y8" s="544"/>
      <c r="Z8" s="529" t="str">
        <f>'5 BSK'!$S$7&amp;" - "&amp;TEXT('5 BSK'!S9,"GG.AA.YYYY")</f>
        <v>5 - 22.04.2014</v>
      </c>
      <c r="AA8" s="530"/>
      <c r="AB8" s="530"/>
      <c r="AC8" s="530"/>
      <c r="AD8" s="530"/>
      <c r="AE8" s="530"/>
      <c r="AF8" s="530"/>
      <c r="AG8" s="529"/>
      <c r="AH8" s="305"/>
      <c r="AI8" s="356"/>
      <c r="AJ8" s="356"/>
      <c r="AK8" s="356"/>
      <c r="AL8" s="354"/>
      <c r="AM8" s="493" t="s">
        <v>67</v>
      </c>
      <c r="AN8" s="493"/>
      <c r="AO8" s="494" t="s">
        <v>70</v>
      </c>
      <c r="AP8" s="495" t="s">
        <v>71</v>
      </c>
      <c r="AQ8" s="487" t="s">
        <v>72</v>
      </c>
      <c r="AR8" s="508"/>
      <c r="AS8" s="493" t="s">
        <v>67</v>
      </c>
      <c r="AT8" s="493"/>
      <c r="AU8" s="494" t="s">
        <v>70</v>
      </c>
      <c r="AV8" s="495" t="s">
        <v>71</v>
      </c>
      <c r="AW8" s="487" t="s">
        <v>72</v>
      </c>
    </row>
    <row r="9" spans="1:83" ht="14.1" customHeight="1" x14ac:dyDescent="0.25">
      <c r="A9" s="551" t="s">
        <v>274</v>
      </c>
      <c r="B9" s="552"/>
      <c r="C9" s="552"/>
      <c r="D9" s="552"/>
      <c r="E9" s="552"/>
      <c r="F9" s="552"/>
      <c r="G9" s="530" t="str">
        <f>PROPER('5 BSK'!$S$10&amp;" "&amp;'5 BSK'!$S$11)</f>
        <v>3+300 - 4+000 Sol Taşıma</v>
      </c>
      <c r="H9" s="530"/>
      <c r="I9" s="530"/>
      <c r="J9" s="530"/>
      <c r="K9" s="530"/>
      <c r="L9" s="530"/>
      <c r="M9" s="530"/>
      <c r="N9" s="530"/>
      <c r="O9" s="530"/>
      <c r="P9" s="530"/>
      <c r="Q9" s="530"/>
      <c r="R9" s="530"/>
      <c r="S9" s="530"/>
      <c r="T9" s="530"/>
      <c r="U9" s="544" t="s">
        <v>64</v>
      </c>
      <c r="V9" s="544"/>
      <c r="W9" s="544"/>
      <c r="X9" s="544"/>
      <c r="Y9" s="544"/>
      <c r="Z9" s="529" t="str">
        <f>PROPER(Dizayn!$C$3)</f>
        <v>Keşan Şantiyesi</v>
      </c>
      <c r="AA9" s="530"/>
      <c r="AB9" s="530"/>
      <c r="AC9" s="530"/>
      <c r="AD9" s="530"/>
      <c r="AE9" s="530"/>
      <c r="AF9" s="530"/>
      <c r="AG9" s="529"/>
      <c r="AH9" s="305"/>
      <c r="AI9" s="356"/>
      <c r="AJ9" s="356"/>
      <c r="AK9" s="356"/>
      <c r="AL9" s="354"/>
      <c r="AM9" s="357" t="s">
        <v>73</v>
      </c>
      <c r="AN9" s="357" t="s">
        <v>74</v>
      </c>
      <c r="AO9" s="494"/>
      <c r="AP9" s="495"/>
      <c r="AQ9" s="487"/>
      <c r="AR9" s="508"/>
      <c r="AS9" s="357" t="s">
        <v>73</v>
      </c>
      <c r="AT9" s="357" t="s">
        <v>74</v>
      </c>
      <c r="AU9" s="494"/>
      <c r="AV9" s="495"/>
      <c r="AW9" s="487"/>
    </row>
    <row r="10" spans="1:83" ht="14.1" customHeight="1" x14ac:dyDescent="0.25">
      <c r="A10" s="553" t="s">
        <v>273</v>
      </c>
      <c r="B10" s="554"/>
      <c r="C10" s="554"/>
      <c r="D10" s="554"/>
      <c r="E10" s="554"/>
      <c r="F10" s="554"/>
      <c r="G10" s="564" t="str">
        <f>PROPER(Dizayn!$C$6)</f>
        <v>Binder</v>
      </c>
      <c r="H10" s="564"/>
      <c r="I10" s="564"/>
      <c r="J10" s="564"/>
      <c r="K10" s="564"/>
      <c r="L10" s="564"/>
      <c r="M10" s="564"/>
      <c r="N10" s="564"/>
      <c r="O10" s="564"/>
      <c r="P10" s="564"/>
      <c r="Q10" s="564"/>
      <c r="R10" s="564"/>
      <c r="S10" s="564"/>
      <c r="T10" s="564"/>
      <c r="U10" s="554" t="s">
        <v>265</v>
      </c>
      <c r="V10" s="554"/>
      <c r="W10" s="554"/>
      <c r="X10" s="554"/>
      <c r="Y10" s="554"/>
      <c r="Z10" s="537" t="str">
        <f>PROPER(Dizayn!$C$5)</f>
        <v>Çeltik T.O.</v>
      </c>
      <c r="AA10" s="538"/>
      <c r="AB10" s="538"/>
      <c r="AC10" s="538"/>
      <c r="AD10" s="538"/>
      <c r="AE10" s="538"/>
      <c r="AF10" s="538"/>
      <c r="AG10" s="537"/>
      <c r="AH10" s="305"/>
      <c r="AI10" s="356"/>
      <c r="AJ10" s="356"/>
      <c r="AK10" s="356"/>
      <c r="AL10" s="354"/>
      <c r="AM10" s="358">
        <v>37.5</v>
      </c>
      <c r="AN10" s="357" t="s">
        <v>20</v>
      </c>
      <c r="AO10" s="359"/>
      <c r="AP10" s="360" t="str">
        <f t="shared" ref="AP10:AP19" si="0">IFERROR((AO10/$AO$20)*100,"Orj.Ağ.?")</f>
        <v>Orj.Ağ.?</v>
      </c>
      <c r="AQ10" s="360">
        <f t="shared" ref="AQ10:AQ19" si="1">IFERROR(100-AP10,0)</f>
        <v>0</v>
      </c>
      <c r="AR10" s="508"/>
      <c r="AS10" s="358">
        <v>37.5</v>
      </c>
      <c r="AT10" s="357" t="s">
        <v>20</v>
      </c>
      <c r="AU10" s="361">
        <v>0</v>
      </c>
      <c r="AV10" s="360">
        <f t="shared" ref="AV10:AV19" si="2">IFERROR((AU10/$AU$20)*100,"Orj.Ağ.?")</f>
        <v>0</v>
      </c>
      <c r="AW10" s="360">
        <f t="shared" ref="AW10:AW19" si="3">IFERROR(100-AV10,0)</f>
        <v>100</v>
      </c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</row>
    <row r="11" spans="1:83" ht="14.1" customHeight="1" x14ac:dyDescent="0.25">
      <c r="A11" s="534" t="s">
        <v>181</v>
      </c>
      <c r="B11" s="535"/>
      <c r="C11" s="535"/>
      <c r="D11" s="535"/>
      <c r="E11" s="535"/>
      <c r="F11" s="535"/>
      <c r="G11" s="535"/>
      <c r="H11" s="535"/>
      <c r="I11" s="535"/>
      <c r="J11" s="535"/>
      <c r="K11" s="535"/>
      <c r="L11" s="535"/>
      <c r="M11" s="535"/>
      <c r="N11" s="535"/>
      <c r="O11" s="535"/>
      <c r="P11" s="535"/>
      <c r="Q11" s="535"/>
      <c r="R11" s="535"/>
      <c r="S11" s="535"/>
      <c r="T11" s="535"/>
      <c r="U11" s="535"/>
      <c r="V11" s="535"/>
      <c r="W11" s="535"/>
      <c r="X11" s="535"/>
      <c r="Y11" s="535"/>
      <c r="Z11" s="536"/>
      <c r="AA11" s="535"/>
      <c r="AB11" s="535"/>
      <c r="AC11" s="535"/>
      <c r="AD11" s="535"/>
      <c r="AE11" s="535"/>
      <c r="AF11" s="535"/>
      <c r="AG11" s="536"/>
      <c r="AH11" s="306"/>
      <c r="AI11" s="362"/>
      <c r="AJ11" s="362"/>
      <c r="AK11" s="362"/>
      <c r="AL11" s="354"/>
      <c r="AM11" s="358">
        <v>25.4</v>
      </c>
      <c r="AN11" s="357" t="s">
        <v>21</v>
      </c>
      <c r="AO11" s="359"/>
      <c r="AP11" s="360" t="str">
        <f t="shared" si="0"/>
        <v>Orj.Ağ.?</v>
      </c>
      <c r="AQ11" s="360">
        <f t="shared" si="1"/>
        <v>0</v>
      </c>
      <c r="AR11" s="508"/>
      <c r="AS11" s="358">
        <v>25.4</v>
      </c>
      <c r="AT11" s="357" t="s">
        <v>21</v>
      </c>
      <c r="AU11" s="361">
        <v>0</v>
      </c>
      <c r="AV11" s="360">
        <f t="shared" si="2"/>
        <v>0</v>
      </c>
      <c r="AW11" s="360">
        <f t="shared" si="3"/>
        <v>100</v>
      </c>
      <c r="BD11" s="136"/>
      <c r="BE11" s="136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</row>
    <row r="12" spans="1:83" ht="14.1" customHeight="1" x14ac:dyDescent="0.25">
      <c r="A12" s="568" t="s">
        <v>67</v>
      </c>
      <c r="B12" s="568"/>
      <c r="C12" s="568"/>
      <c r="D12" s="568"/>
      <c r="E12" s="568"/>
      <c r="F12" s="568"/>
      <c r="G12" s="519"/>
      <c r="H12" s="519"/>
      <c r="I12" s="519"/>
      <c r="J12" s="519">
        <v>39</v>
      </c>
      <c r="K12" s="519"/>
      <c r="L12" s="519"/>
      <c r="M12" s="519">
        <v>21</v>
      </c>
      <c r="N12" s="519"/>
      <c r="O12" s="519"/>
      <c r="P12" s="519">
        <v>36</v>
      </c>
      <c r="Q12" s="519"/>
      <c r="R12" s="519"/>
      <c r="S12" s="519">
        <v>4</v>
      </c>
      <c r="T12" s="519"/>
      <c r="U12" s="519"/>
      <c r="V12" s="520" t="s">
        <v>68</v>
      </c>
      <c r="W12" s="520"/>
      <c r="X12" s="520"/>
      <c r="Y12" s="520"/>
      <c r="Z12" s="520" t="s">
        <v>69</v>
      </c>
      <c r="AA12" s="520"/>
      <c r="AB12" s="520"/>
      <c r="AC12" s="520"/>
      <c r="AD12" s="540" t="s">
        <v>17</v>
      </c>
      <c r="AE12" s="540"/>
      <c r="AF12" s="540"/>
      <c r="AG12" s="540"/>
      <c r="AH12" s="307"/>
      <c r="AI12" s="363"/>
      <c r="AJ12" s="363"/>
      <c r="AK12" s="363"/>
      <c r="AL12" s="354"/>
      <c r="AM12" s="358">
        <v>19.100000000000001</v>
      </c>
      <c r="AN12" s="357" t="s">
        <v>22</v>
      </c>
      <c r="AO12" s="359"/>
      <c r="AP12" s="360" t="str">
        <f t="shared" si="0"/>
        <v>Orj.Ağ.?</v>
      </c>
      <c r="AQ12" s="360">
        <f t="shared" si="1"/>
        <v>0</v>
      </c>
      <c r="AR12" s="508"/>
      <c r="AS12" s="358">
        <v>19.100000000000001</v>
      </c>
      <c r="AT12" s="357" t="s">
        <v>22</v>
      </c>
      <c r="AU12" s="361">
        <v>800</v>
      </c>
      <c r="AV12" s="360">
        <f t="shared" si="2"/>
        <v>24.107277384360405</v>
      </c>
      <c r="AW12" s="360">
        <f t="shared" si="3"/>
        <v>75.892722615639599</v>
      </c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</row>
    <row r="13" spans="1:83" ht="14.1" customHeight="1" x14ac:dyDescent="0.25">
      <c r="A13" s="569"/>
      <c r="B13" s="569"/>
      <c r="C13" s="569"/>
      <c r="D13" s="569"/>
      <c r="E13" s="569"/>
      <c r="F13" s="569"/>
      <c r="G13" s="539">
        <f>Dizayn!C41</f>
        <v>0</v>
      </c>
      <c r="H13" s="539"/>
      <c r="I13" s="539"/>
      <c r="J13" s="539" t="str">
        <f>Dizayn!D41</f>
        <v>12-25</v>
      </c>
      <c r="K13" s="539"/>
      <c r="L13" s="539"/>
      <c r="M13" s="539" t="str">
        <f>Dizayn!E41</f>
        <v>5-12</v>
      </c>
      <c r="N13" s="539"/>
      <c r="O13" s="539"/>
      <c r="P13" s="539" t="str">
        <f>Dizayn!F41</f>
        <v>0-5</v>
      </c>
      <c r="Q13" s="539"/>
      <c r="R13" s="539"/>
      <c r="S13" s="539" t="str">
        <f>Dizayn!G41</f>
        <v>Filler</v>
      </c>
      <c r="T13" s="539"/>
      <c r="U13" s="539"/>
      <c r="V13" s="520"/>
      <c r="W13" s="520"/>
      <c r="X13" s="520"/>
      <c r="Y13" s="520"/>
      <c r="Z13" s="520"/>
      <c r="AA13" s="520"/>
      <c r="AB13" s="520"/>
      <c r="AC13" s="520"/>
      <c r="AD13" s="540"/>
      <c r="AE13" s="540"/>
      <c r="AF13" s="540"/>
      <c r="AG13" s="540"/>
      <c r="AH13" s="307"/>
      <c r="AI13" s="363"/>
      <c r="AJ13" s="363"/>
      <c r="AK13" s="363"/>
      <c r="AL13" s="354"/>
      <c r="AM13" s="358">
        <v>12.7</v>
      </c>
      <c r="AN13" s="357" t="s">
        <v>23</v>
      </c>
      <c r="AO13" s="359"/>
      <c r="AP13" s="360" t="str">
        <f t="shared" si="0"/>
        <v>Orj.Ağ.?</v>
      </c>
      <c r="AQ13" s="360">
        <f t="shared" si="1"/>
        <v>0</v>
      </c>
      <c r="AR13" s="508"/>
      <c r="AS13" s="358">
        <v>12.7</v>
      </c>
      <c r="AT13" s="357" t="s">
        <v>23</v>
      </c>
      <c r="AU13" s="361">
        <v>2983.3</v>
      </c>
      <c r="AV13" s="360">
        <f t="shared" si="2"/>
        <v>89.899050775952986</v>
      </c>
      <c r="AW13" s="360">
        <f t="shared" si="3"/>
        <v>10.100949224047014</v>
      </c>
      <c r="BD13" s="136"/>
      <c r="BE13" s="136"/>
      <c r="BF13" s="136"/>
      <c r="BG13" s="136"/>
      <c r="BH13" s="136"/>
      <c r="BI13" s="138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6"/>
      <c r="BY13" s="136"/>
      <c r="BZ13" s="136"/>
      <c r="CA13" s="136"/>
      <c r="CB13" s="136"/>
      <c r="CC13" s="136"/>
      <c r="CD13" s="136"/>
      <c r="CE13" s="136"/>
    </row>
    <row r="14" spans="1:83" ht="14.1" customHeight="1" x14ac:dyDescent="0.25">
      <c r="A14" s="501" t="s">
        <v>73</v>
      </c>
      <c r="B14" s="502"/>
      <c r="C14" s="503"/>
      <c r="D14" s="501" t="s">
        <v>74</v>
      </c>
      <c r="E14" s="502"/>
      <c r="F14" s="503"/>
      <c r="G14" s="522" t="str">
        <f>IF(G12="","","% geçen")</f>
        <v/>
      </c>
      <c r="H14" s="522"/>
      <c r="I14" s="522"/>
      <c r="J14" s="522" t="str">
        <f t="shared" ref="J14" si="4">IF(J12="","","% geçen")</f>
        <v>% geçen</v>
      </c>
      <c r="K14" s="522"/>
      <c r="L14" s="522"/>
      <c r="M14" s="522" t="str">
        <f t="shared" ref="M14" si="5">IF(M12="","","% geçen")</f>
        <v>% geçen</v>
      </c>
      <c r="N14" s="522"/>
      <c r="O14" s="522"/>
      <c r="P14" s="522" t="str">
        <f t="shared" ref="P14" si="6">IF(P12="","","% geçen")</f>
        <v>% geçen</v>
      </c>
      <c r="Q14" s="522"/>
      <c r="R14" s="522"/>
      <c r="S14" s="522" t="str">
        <f t="shared" ref="S14" si="7">IF(S12="","","% geçen")</f>
        <v>% geçen</v>
      </c>
      <c r="T14" s="522"/>
      <c r="U14" s="522"/>
      <c r="V14" s="520"/>
      <c r="W14" s="520"/>
      <c r="X14" s="520"/>
      <c r="Y14" s="520"/>
      <c r="Z14" s="520"/>
      <c r="AA14" s="520"/>
      <c r="AB14" s="520"/>
      <c r="AC14" s="520"/>
      <c r="AD14" s="540"/>
      <c r="AE14" s="540"/>
      <c r="AF14" s="540"/>
      <c r="AG14" s="540"/>
      <c r="AH14" s="307"/>
      <c r="AI14" s="363"/>
      <c r="AJ14" s="363"/>
      <c r="AK14" s="363"/>
      <c r="AL14" s="354"/>
      <c r="AM14" s="358">
        <v>9.52</v>
      </c>
      <c r="AN14" s="357" t="s">
        <v>24</v>
      </c>
      <c r="AO14" s="359"/>
      <c r="AP14" s="360" t="str">
        <f t="shared" si="0"/>
        <v>Orj.Ağ.?</v>
      </c>
      <c r="AQ14" s="360">
        <f t="shared" si="1"/>
        <v>0</v>
      </c>
      <c r="AR14" s="508"/>
      <c r="AS14" s="358">
        <v>9.52</v>
      </c>
      <c r="AT14" s="357" t="s">
        <v>24</v>
      </c>
      <c r="AU14" s="361">
        <v>3238.9</v>
      </c>
      <c r="AV14" s="360">
        <f t="shared" si="2"/>
        <v>97.601325900256143</v>
      </c>
      <c r="AW14" s="360">
        <f t="shared" si="3"/>
        <v>2.3986740997438574</v>
      </c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6"/>
      <c r="BY14" s="136"/>
      <c r="BZ14" s="136"/>
      <c r="CA14" s="136"/>
      <c r="CB14" s="136"/>
      <c r="CC14" s="136"/>
      <c r="CD14" s="136"/>
      <c r="CE14" s="136"/>
    </row>
    <row r="15" spans="1:83" ht="14.1" customHeight="1" x14ac:dyDescent="0.25">
      <c r="A15" s="521">
        <f>Dizayn!$A$29</f>
        <v>38.099999999999994</v>
      </c>
      <c r="B15" s="521"/>
      <c r="C15" s="521"/>
      <c r="D15" s="501" t="str">
        <f>Dizayn!$B$29</f>
        <v>1 1/2"</v>
      </c>
      <c r="E15" s="502"/>
      <c r="F15" s="503"/>
      <c r="G15" s="509">
        <f>$AQ$10</f>
        <v>0</v>
      </c>
      <c r="H15" s="509"/>
      <c r="I15" s="509"/>
      <c r="J15" s="510">
        <f>$AW$10</f>
        <v>100</v>
      </c>
      <c r="K15" s="510"/>
      <c r="L15" s="510"/>
      <c r="M15" s="510">
        <f>$AQ$25</f>
        <v>100</v>
      </c>
      <c r="N15" s="510"/>
      <c r="O15" s="510"/>
      <c r="P15" s="510">
        <f>$AW$25</f>
        <v>100</v>
      </c>
      <c r="Q15" s="510"/>
      <c r="R15" s="510"/>
      <c r="S15" s="510">
        <f>$AQ$40</f>
        <v>100</v>
      </c>
      <c r="T15" s="510"/>
      <c r="U15" s="510"/>
      <c r="V15" s="506">
        <f ca="1">IFERROR(IF(AND(AI15&lt;=Dizayn!E29,AI15&gt;=Dizayn!F29),ROUND(AI15,1),ROUND(AI15,1)&amp;"X"),"-")</f>
        <v>100</v>
      </c>
      <c r="W15" s="506"/>
      <c r="X15" s="506"/>
      <c r="Y15" s="506"/>
      <c r="Z15" s="511" t="str">
        <f ca="1">Dizayn!$E$29&amp;" - "&amp;Dizayn!$F$29</f>
        <v>100 - 100</v>
      </c>
      <c r="AA15" s="511"/>
      <c r="AB15" s="511"/>
      <c r="AC15" s="511"/>
      <c r="AD15" s="512" t="str">
        <f ca="1">Dizayn!$C$29&amp;" - "&amp;Dizayn!$D$29</f>
        <v>100 - 100</v>
      </c>
      <c r="AE15" s="512"/>
      <c r="AF15" s="512"/>
      <c r="AG15" s="512"/>
      <c r="AH15" s="308"/>
      <c r="AI15" s="507">
        <f>IFERROR(ROUND((($G$15*$G$12/100)+($J$15*$J$12/100)+($M$15*$M$12/100)+($P$15*$P$12/100)+($S$15*$S$12/100)),1),"-")</f>
        <v>100</v>
      </c>
      <c r="AJ15" s="507"/>
      <c r="AK15" s="507"/>
      <c r="AL15" s="354"/>
      <c r="AM15" s="358">
        <v>4.76</v>
      </c>
      <c r="AN15" s="357" t="s">
        <v>25</v>
      </c>
      <c r="AO15" s="359"/>
      <c r="AP15" s="360" t="str">
        <f t="shared" si="0"/>
        <v>Orj.Ağ.?</v>
      </c>
      <c r="AQ15" s="360">
        <f t="shared" si="1"/>
        <v>0</v>
      </c>
      <c r="AR15" s="508"/>
      <c r="AS15" s="358">
        <v>4.76</v>
      </c>
      <c r="AT15" s="357" t="s">
        <v>25</v>
      </c>
      <c r="AU15" s="361">
        <v>3275.4</v>
      </c>
      <c r="AV15" s="360">
        <f t="shared" si="2"/>
        <v>98.701220430917587</v>
      </c>
      <c r="AW15" s="360">
        <f t="shared" si="3"/>
        <v>1.2987795690824129</v>
      </c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</row>
    <row r="16" spans="1:83" ht="14.1" customHeight="1" x14ac:dyDescent="0.25">
      <c r="A16" s="516">
        <f>Dizayn!$A$30</f>
        <v>25.4</v>
      </c>
      <c r="B16" s="517"/>
      <c r="C16" s="518"/>
      <c r="D16" s="501" t="str">
        <f>Dizayn!$B$30</f>
        <v>1"</v>
      </c>
      <c r="E16" s="502"/>
      <c r="F16" s="503"/>
      <c r="G16" s="509">
        <f>$AQ$11</f>
        <v>0</v>
      </c>
      <c r="H16" s="509"/>
      <c r="I16" s="509"/>
      <c r="J16" s="510">
        <f>$AW$11</f>
        <v>100</v>
      </c>
      <c r="K16" s="510"/>
      <c r="L16" s="510"/>
      <c r="M16" s="510">
        <f>$AQ$26</f>
        <v>100</v>
      </c>
      <c r="N16" s="510"/>
      <c r="O16" s="510"/>
      <c r="P16" s="510">
        <f>$AW$26</f>
        <v>100</v>
      </c>
      <c r="Q16" s="510"/>
      <c r="R16" s="510"/>
      <c r="S16" s="510">
        <f>$AQ$41</f>
        <v>100</v>
      </c>
      <c r="T16" s="510"/>
      <c r="U16" s="510"/>
      <c r="V16" s="506">
        <f ca="1">IFERROR(IF(AND(AI16&lt;=Dizayn!E30,AI16&gt;=Dizayn!F30),ROUND(AI16,1),ROUND(AI16,1)&amp;"X"),"-")</f>
        <v>100</v>
      </c>
      <c r="W16" s="506"/>
      <c r="X16" s="506"/>
      <c r="Y16" s="506"/>
      <c r="Z16" s="511" t="str">
        <f ca="1">Dizayn!$E$30&amp;" - "&amp;Dizayn!$F$30</f>
        <v>100 - 100</v>
      </c>
      <c r="AA16" s="511"/>
      <c r="AB16" s="511"/>
      <c r="AC16" s="511"/>
      <c r="AD16" s="512" t="str">
        <f ca="1">Dizayn!$C$30&amp;" - "&amp;Dizayn!$D$30</f>
        <v>100 - 100</v>
      </c>
      <c r="AE16" s="512"/>
      <c r="AF16" s="512"/>
      <c r="AG16" s="512"/>
      <c r="AH16" s="308"/>
      <c r="AI16" s="507">
        <f>IFERROR(ROUND((($G$16*$G$12/100)+($J$16*$J$12/100)+($M$16*$M$12/100)+($P$16*$P$12/100)+($S$16*$S$12/100)),1),"-")</f>
        <v>100</v>
      </c>
      <c r="AJ16" s="507"/>
      <c r="AK16" s="507"/>
      <c r="AL16" s="354"/>
      <c r="AM16" s="358">
        <v>2</v>
      </c>
      <c r="AN16" s="357" t="s">
        <v>26</v>
      </c>
      <c r="AO16" s="359"/>
      <c r="AP16" s="360" t="str">
        <f t="shared" si="0"/>
        <v>Orj.Ağ.?</v>
      </c>
      <c r="AQ16" s="360">
        <f t="shared" si="1"/>
        <v>0</v>
      </c>
      <c r="AR16" s="508"/>
      <c r="AS16" s="358">
        <v>2</v>
      </c>
      <c r="AT16" s="357" t="s">
        <v>26</v>
      </c>
      <c r="AU16" s="361">
        <v>3311.9</v>
      </c>
      <c r="AV16" s="360">
        <f t="shared" si="2"/>
        <v>99.801114961579032</v>
      </c>
      <c r="AW16" s="360">
        <f t="shared" si="3"/>
        <v>0.19888503842096839</v>
      </c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</row>
    <row r="17" spans="1:83" ht="14.1" customHeight="1" x14ac:dyDescent="0.25">
      <c r="A17" s="516">
        <f>Dizayn!$A$31</f>
        <v>19.100000000000001</v>
      </c>
      <c r="B17" s="517"/>
      <c r="C17" s="518"/>
      <c r="D17" s="501" t="str">
        <f>Dizayn!$B$31</f>
        <v>3/4"</v>
      </c>
      <c r="E17" s="502"/>
      <c r="F17" s="503"/>
      <c r="G17" s="509">
        <f>$AQ$12</f>
        <v>0</v>
      </c>
      <c r="H17" s="509"/>
      <c r="I17" s="509"/>
      <c r="J17" s="510">
        <f>$AW$12</f>
        <v>75.892722615639599</v>
      </c>
      <c r="K17" s="510"/>
      <c r="L17" s="510"/>
      <c r="M17" s="510">
        <f>$AQ$27</f>
        <v>100</v>
      </c>
      <c r="N17" s="510"/>
      <c r="O17" s="510"/>
      <c r="P17" s="510">
        <f>$AW$27</f>
        <v>100</v>
      </c>
      <c r="Q17" s="510"/>
      <c r="R17" s="510"/>
      <c r="S17" s="510">
        <f>$AQ$42</f>
        <v>100</v>
      </c>
      <c r="T17" s="510"/>
      <c r="U17" s="510"/>
      <c r="V17" s="506">
        <f ca="1">IFERROR(IF(AND(AI17&lt;=Dizayn!E31,AI17&gt;=Dizayn!F31),ROUND(AI17,1),ROUND(AI17,1)&amp;"X"),"-")</f>
        <v>90.6</v>
      </c>
      <c r="W17" s="506"/>
      <c r="X17" s="506"/>
      <c r="Y17" s="506"/>
      <c r="Z17" s="511" t="str">
        <f ca="1">Dizayn!$E$31&amp;" - "&amp;Dizayn!$F$31</f>
        <v>93,5 - 85,5</v>
      </c>
      <c r="AA17" s="511"/>
      <c r="AB17" s="511"/>
      <c r="AC17" s="511"/>
      <c r="AD17" s="512" t="str">
        <f ca="1">Dizayn!$C$31&amp;" - "&amp;Dizayn!$D$31</f>
        <v>100 - 80</v>
      </c>
      <c r="AE17" s="512"/>
      <c r="AF17" s="512"/>
      <c r="AG17" s="512"/>
      <c r="AH17" s="308"/>
      <c r="AI17" s="507">
        <f>IFERROR(ROUND((($G$17*$G$12/100)+($J$17*$J$12/100)+($M$17*$M$12/100)+($P$17*$P$12/100)+($S$17*$S$12/100)),1),"-")</f>
        <v>90.6</v>
      </c>
      <c r="AJ17" s="507"/>
      <c r="AK17" s="507"/>
      <c r="AL17" s="354"/>
      <c r="AM17" s="358">
        <v>0.42</v>
      </c>
      <c r="AN17" s="357" t="s">
        <v>27</v>
      </c>
      <c r="AO17" s="359"/>
      <c r="AP17" s="360" t="str">
        <f t="shared" si="0"/>
        <v>Orj.Ağ.?</v>
      </c>
      <c r="AQ17" s="360">
        <f t="shared" si="1"/>
        <v>0</v>
      </c>
      <c r="AR17" s="508"/>
      <c r="AS17" s="358">
        <v>0.42</v>
      </c>
      <c r="AT17" s="357" t="s">
        <v>27</v>
      </c>
      <c r="AU17" s="361">
        <v>3315.2</v>
      </c>
      <c r="AV17" s="360">
        <f t="shared" si="2"/>
        <v>99.900557480789516</v>
      </c>
      <c r="AW17" s="360">
        <f t="shared" si="3"/>
        <v>9.9442519210484193E-2</v>
      </c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</row>
    <row r="18" spans="1:83" ht="14.1" customHeight="1" x14ac:dyDescent="0.25">
      <c r="A18" s="516">
        <f>Dizayn!$A$32</f>
        <v>12.7</v>
      </c>
      <c r="B18" s="517"/>
      <c r="C18" s="518"/>
      <c r="D18" s="501" t="str">
        <f>Dizayn!$B$32</f>
        <v>1/2"</v>
      </c>
      <c r="E18" s="502"/>
      <c r="F18" s="503"/>
      <c r="G18" s="509">
        <f>$AQ$13</f>
        <v>0</v>
      </c>
      <c r="H18" s="509"/>
      <c r="I18" s="509"/>
      <c r="J18" s="510">
        <f>$AW$13</f>
        <v>10.100949224047014</v>
      </c>
      <c r="K18" s="510"/>
      <c r="L18" s="510"/>
      <c r="M18" s="510">
        <f>$AQ$28</f>
        <v>100</v>
      </c>
      <c r="N18" s="510"/>
      <c r="O18" s="510"/>
      <c r="P18" s="510">
        <f>$AW$28</f>
        <v>100</v>
      </c>
      <c r="Q18" s="510"/>
      <c r="R18" s="510"/>
      <c r="S18" s="510">
        <f>$AQ$43</f>
        <v>100</v>
      </c>
      <c r="T18" s="510"/>
      <c r="U18" s="510"/>
      <c r="V18" s="506">
        <f ca="1">IFERROR(IF(AND(AI18&lt;=Dizayn!E32,AI18&gt;=Dizayn!F32),ROUND(AI18,1),ROUND(AI18,1)&amp;"X"),"-")</f>
        <v>64.900000000000006</v>
      </c>
      <c r="W18" s="506"/>
      <c r="X18" s="506"/>
      <c r="Y18" s="506"/>
      <c r="Z18" s="511" t="str">
        <f ca="1">Dizayn!$E$32&amp;" - "&amp;Dizayn!$F$32</f>
        <v>71,6 - 63,6</v>
      </c>
      <c r="AA18" s="511"/>
      <c r="AB18" s="511"/>
      <c r="AC18" s="511"/>
      <c r="AD18" s="512" t="str">
        <f ca="1">Dizayn!$C$32&amp;" - "&amp;Dizayn!$D$32</f>
        <v>80 - 58</v>
      </c>
      <c r="AE18" s="512"/>
      <c r="AF18" s="512"/>
      <c r="AG18" s="512"/>
      <c r="AH18" s="308"/>
      <c r="AI18" s="507">
        <f>IFERROR(ROUND((($G$18*$G$12/100)+($J$18*$J$12/100)+($M$18*$M$12/100)+($P$18*$P$12/100)+($S$18*$S$12/100)),1),"-")</f>
        <v>64.900000000000006</v>
      </c>
      <c r="AJ18" s="507"/>
      <c r="AK18" s="507"/>
      <c r="AL18" s="354"/>
      <c r="AM18" s="358">
        <v>0.18</v>
      </c>
      <c r="AN18" s="357" t="s">
        <v>28</v>
      </c>
      <c r="AO18" s="359"/>
      <c r="AP18" s="360" t="str">
        <f t="shared" si="0"/>
        <v>Orj.Ağ.?</v>
      </c>
      <c r="AQ18" s="360">
        <f t="shared" si="1"/>
        <v>0</v>
      </c>
      <c r="AR18" s="508"/>
      <c r="AS18" s="358">
        <v>0.18</v>
      </c>
      <c r="AT18" s="357" t="s">
        <v>28</v>
      </c>
      <c r="AU18" s="361">
        <v>3318.5</v>
      </c>
      <c r="AV18" s="360">
        <f t="shared" si="2"/>
        <v>100</v>
      </c>
      <c r="AW18" s="360">
        <f t="shared" si="3"/>
        <v>0</v>
      </c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</row>
    <row r="19" spans="1:83" ht="14.1" customHeight="1" x14ac:dyDescent="0.25">
      <c r="A19" s="516">
        <f>Dizayn!$A$33</f>
        <v>9.5299999999999994</v>
      </c>
      <c r="B19" s="517"/>
      <c r="C19" s="518"/>
      <c r="D19" s="501" t="str">
        <f>Dizayn!$B$33</f>
        <v>3/8"</v>
      </c>
      <c r="E19" s="502"/>
      <c r="F19" s="503"/>
      <c r="G19" s="509">
        <f>$AQ$14</f>
        <v>0</v>
      </c>
      <c r="H19" s="509"/>
      <c r="I19" s="509"/>
      <c r="J19" s="510">
        <f>$AW$14</f>
        <v>2.3986740997438574</v>
      </c>
      <c r="K19" s="510"/>
      <c r="L19" s="510"/>
      <c r="M19" s="510">
        <f>$AQ$29</f>
        <v>83.099044468945237</v>
      </c>
      <c r="N19" s="510"/>
      <c r="O19" s="510"/>
      <c r="P19" s="510">
        <f>$AW$29</f>
        <v>100</v>
      </c>
      <c r="Q19" s="510"/>
      <c r="R19" s="510"/>
      <c r="S19" s="510">
        <f>$AQ$44</f>
        <v>100</v>
      </c>
      <c r="T19" s="510"/>
      <c r="U19" s="510"/>
      <c r="V19" s="506">
        <f ca="1">IFERROR(IF(AND(AI19&lt;=Dizayn!E33,AI19&gt;=Dizayn!F33),ROUND(AI19,1),ROUND(AI19,1)&amp;"X"),"-")</f>
        <v>58.4</v>
      </c>
      <c r="W19" s="506"/>
      <c r="X19" s="506"/>
      <c r="Y19" s="506"/>
      <c r="Z19" s="511" t="str">
        <f ca="1">Dizayn!$E$33&amp;" - "&amp;Dizayn!$F$33</f>
        <v>64,5 - 56,5</v>
      </c>
      <c r="AA19" s="511"/>
      <c r="AB19" s="511"/>
      <c r="AC19" s="511"/>
      <c r="AD19" s="512" t="str">
        <f ca="1">Dizayn!$C$33&amp;" - "&amp;Dizayn!$D$33</f>
        <v>70 - 48</v>
      </c>
      <c r="AE19" s="512"/>
      <c r="AF19" s="512"/>
      <c r="AG19" s="512"/>
      <c r="AH19" s="308"/>
      <c r="AI19" s="507">
        <f>IFERROR(ROUND((($J$19*$J$12/100)+($M$19*$M$12/100)+($P$19*$P$12/100)+($S$19*$S$12/100)),1),"-")</f>
        <v>58.4</v>
      </c>
      <c r="AJ19" s="507"/>
      <c r="AK19" s="507"/>
      <c r="AL19" s="354"/>
      <c r="AM19" s="358">
        <v>7.4999999999999997E-2</v>
      </c>
      <c r="AN19" s="357" t="s">
        <v>29</v>
      </c>
      <c r="AO19" s="359"/>
      <c r="AP19" s="360" t="str">
        <f t="shared" si="0"/>
        <v>Orj.Ağ.?</v>
      </c>
      <c r="AQ19" s="360">
        <f t="shared" si="1"/>
        <v>0</v>
      </c>
      <c r="AR19" s="508"/>
      <c r="AS19" s="358">
        <v>7.4999999999999997E-2</v>
      </c>
      <c r="AT19" s="357" t="s">
        <v>29</v>
      </c>
      <c r="AU19" s="361">
        <v>3318.5</v>
      </c>
      <c r="AV19" s="360">
        <f t="shared" si="2"/>
        <v>100</v>
      </c>
      <c r="AW19" s="360">
        <f t="shared" si="3"/>
        <v>0</v>
      </c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</row>
    <row r="20" spans="1:83" ht="14.1" customHeight="1" x14ac:dyDescent="0.25">
      <c r="A20" s="513">
        <f>Dizayn!$A$34</f>
        <v>4.75</v>
      </c>
      <c r="B20" s="514"/>
      <c r="C20" s="515"/>
      <c r="D20" s="501" t="str">
        <f>Dizayn!$B$34</f>
        <v>No.4</v>
      </c>
      <c r="E20" s="502"/>
      <c r="F20" s="503"/>
      <c r="G20" s="509">
        <f>$AQ$15</f>
        <v>0</v>
      </c>
      <c r="H20" s="509"/>
      <c r="I20" s="509"/>
      <c r="J20" s="510">
        <f>$AW$15</f>
        <v>1.2987795690824129</v>
      </c>
      <c r="K20" s="510"/>
      <c r="L20" s="510"/>
      <c r="M20" s="510">
        <f>$AQ$30</f>
        <v>13.299338478500559</v>
      </c>
      <c r="N20" s="510"/>
      <c r="O20" s="510"/>
      <c r="P20" s="510">
        <f>$AW$30</f>
        <v>97.102130325814542</v>
      </c>
      <c r="Q20" s="510"/>
      <c r="R20" s="510"/>
      <c r="S20" s="510">
        <f>$AQ$45</f>
        <v>100</v>
      </c>
      <c r="T20" s="510"/>
      <c r="U20" s="510"/>
      <c r="V20" s="506">
        <f ca="1">IFERROR(IF(AND(AI20&lt;=Dizayn!E34,AI20&gt;=Dizayn!F34),ROUND(AI20,1),ROUND(AI20,1)&amp;"X"),"-")</f>
        <v>42.3</v>
      </c>
      <c r="W20" s="506"/>
      <c r="X20" s="506"/>
      <c r="Y20" s="506"/>
      <c r="Z20" s="511" t="str">
        <f ca="1">Dizayn!$E$34&amp;" - "&amp;Dizayn!$F$34</f>
        <v>46,6 - 38,6</v>
      </c>
      <c r="AA20" s="511"/>
      <c r="AB20" s="511"/>
      <c r="AC20" s="511"/>
      <c r="AD20" s="512" t="str">
        <f ca="1">Dizayn!$C$34&amp;" - "&amp;Dizayn!$D$34</f>
        <v>52 - 30</v>
      </c>
      <c r="AE20" s="512"/>
      <c r="AF20" s="512"/>
      <c r="AG20" s="512"/>
      <c r="AH20" s="308"/>
      <c r="AI20" s="507">
        <f>IFERROR(ROUND((($G$20*$G$12/100)+($J$20*$J$12/100)+($M$20*$M$12/100)+($P$20*$P$12/100)+($S$20*$S$12/100)),1),"-")</f>
        <v>42.3</v>
      </c>
      <c r="AJ20" s="507"/>
      <c r="AK20" s="507"/>
      <c r="AL20" s="354"/>
      <c r="AM20" s="487" t="s">
        <v>75</v>
      </c>
      <c r="AN20" s="487"/>
      <c r="AO20" s="364"/>
      <c r="AP20" s="365"/>
      <c r="AQ20" s="365" t="s">
        <v>269</v>
      </c>
      <c r="AR20" s="508"/>
      <c r="AS20" s="487" t="s">
        <v>75</v>
      </c>
      <c r="AT20" s="487"/>
      <c r="AU20" s="364">
        <v>3318.5</v>
      </c>
      <c r="AV20" s="365"/>
      <c r="AW20" s="365"/>
    </row>
    <row r="21" spans="1:83" ht="14.1" customHeight="1" x14ac:dyDescent="0.25">
      <c r="A21" s="513">
        <f>Dizayn!$A$35</f>
        <v>2</v>
      </c>
      <c r="B21" s="514"/>
      <c r="C21" s="515"/>
      <c r="D21" s="501" t="str">
        <f>Dizayn!$B$35</f>
        <v>No.10</v>
      </c>
      <c r="E21" s="502"/>
      <c r="F21" s="503"/>
      <c r="G21" s="509">
        <f>$AQ$16</f>
        <v>0</v>
      </c>
      <c r="H21" s="509"/>
      <c r="I21" s="509"/>
      <c r="J21" s="510">
        <f>$AW$16</f>
        <v>0.19888503842096839</v>
      </c>
      <c r="K21" s="510"/>
      <c r="L21" s="510"/>
      <c r="M21" s="510">
        <f>$AQ$31</f>
        <v>4.5984932010290578</v>
      </c>
      <c r="N21" s="510"/>
      <c r="O21" s="510"/>
      <c r="P21" s="510">
        <f>$AW$31</f>
        <v>59.500313283208015</v>
      </c>
      <c r="Q21" s="510"/>
      <c r="R21" s="510"/>
      <c r="S21" s="510">
        <f>$AQ$46</f>
        <v>100</v>
      </c>
      <c r="T21" s="510"/>
      <c r="U21" s="510"/>
      <c r="V21" s="506">
        <f ca="1">IFERROR(IF(AND(AI21&lt;=Dizayn!E35,AI21&gt;=Dizayn!F35),ROUND(AI21,1),ROUND(AI21,1)&amp;"X"),"-")</f>
        <v>26.5</v>
      </c>
      <c r="W21" s="506"/>
      <c r="X21" s="506"/>
      <c r="Y21" s="506"/>
      <c r="Z21" s="511" t="str">
        <f ca="1">Dizayn!$E$35&amp;" - "&amp;Dizayn!$F$35</f>
        <v>30,5 - 24,5</v>
      </c>
      <c r="AA21" s="511"/>
      <c r="AB21" s="511"/>
      <c r="AC21" s="511"/>
      <c r="AD21" s="512" t="str">
        <f ca="1">Dizayn!$C$35&amp;" - "&amp;Dizayn!$D$35</f>
        <v>40 - 20</v>
      </c>
      <c r="AE21" s="512"/>
      <c r="AF21" s="512"/>
      <c r="AG21" s="512"/>
      <c r="AH21" s="308"/>
      <c r="AI21" s="507">
        <f>IFERROR(ROUND((($G$21*$G$12/100)+($J$21*$J$12/100)+($M$21*$M$12/100)+($P$21*$P$12/100)+($S$21*$S$12/100)),1),"-")</f>
        <v>26.5</v>
      </c>
      <c r="AJ21" s="507"/>
      <c r="AK21" s="507"/>
      <c r="AL21" s="354"/>
      <c r="AM21" s="488"/>
      <c r="AN21" s="489"/>
      <c r="AO21" s="489"/>
      <c r="AP21" s="489"/>
      <c r="AQ21" s="489"/>
      <c r="AR21" s="489"/>
      <c r="AS21" s="489"/>
      <c r="AT21" s="489"/>
      <c r="AU21" s="489"/>
      <c r="AV21" s="489"/>
      <c r="AW21" s="489"/>
    </row>
    <row r="22" spans="1:83" ht="14.1" customHeight="1" x14ac:dyDescent="0.25">
      <c r="A22" s="498">
        <f>Dizayn!$A$36</f>
        <v>0.42499999999999999</v>
      </c>
      <c r="B22" s="499"/>
      <c r="C22" s="500"/>
      <c r="D22" s="501" t="str">
        <f>Dizayn!$B$36</f>
        <v>No.40</v>
      </c>
      <c r="E22" s="502"/>
      <c r="F22" s="503"/>
      <c r="G22" s="509">
        <f>$AQ$17</f>
        <v>0</v>
      </c>
      <c r="H22" s="509"/>
      <c r="I22" s="509"/>
      <c r="J22" s="510">
        <f>$AW$17</f>
        <v>9.9442519210484193E-2</v>
      </c>
      <c r="K22" s="510"/>
      <c r="L22" s="510"/>
      <c r="M22" s="510">
        <f>$AQ$32</f>
        <v>2.3015435501653911</v>
      </c>
      <c r="N22" s="510"/>
      <c r="O22" s="510"/>
      <c r="P22" s="510">
        <f>$AW$32</f>
        <v>22.297932330827066</v>
      </c>
      <c r="Q22" s="510"/>
      <c r="R22" s="510"/>
      <c r="S22" s="510">
        <f>$AQ$47</f>
        <v>98.5</v>
      </c>
      <c r="T22" s="510"/>
      <c r="U22" s="510"/>
      <c r="V22" s="506">
        <f ca="1">IFERROR(IF(AND(AI22&lt;=Dizayn!E36,AI22&gt;=Dizayn!F36),ROUND(AI22,1),ROUND(AI22,1)&amp;"X"),"-")</f>
        <v>12.5</v>
      </c>
      <c r="W22" s="506"/>
      <c r="X22" s="506"/>
      <c r="Y22" s="506"/>
      <c r="Z22" s="511" t="str">
        <f ca="1">Dizayn!$E$36&amp;" - "&amp;Dizayn!$F$36</f>
        <v>15,9 - 9,9</v>
      </c>
      <c r="AA22" s="511"/>
      <c r="AB22" s="511"/>
      <c r="AC22" s="511"/>
      <c r="AD22" s="512" t="str">
        <f ca="1">Dizayn!$C$36&amp;" - "&amp;Dizayn!$D$36</f>
        <v>22 - 8</v>
      </c>
      <c r="AE22" s="512"/>
      <c r="AF22" s="512"/>
      <c r="AG22" s="512"/>
      <c r="AH22" s="308"/>
      <c r="AI22" s="507">
        <f>IFERROR(ROUND((($G$22*$G$12/100)+($J$22*$J$12/100)+($M$22*$M$12/100)+($P$22*$P$12/100)+($S$22*$S$12/100)),1),"-")</f>
        <v>12.5</v>
      </c>
      <c r="AJ22" s="507"/>
      <c r="AK22" s="507"/>
      <c r="AL22" s="354"/>
      <c r="AM22" s="490" t="str">
        <f>Dizayn!$E$41</f>
        <v>5-12</v>
      </c>
      <c r="AN22" s="490"/>
      <c r="AO22" s="490"/>
      <c r="AP22" s="490"/>
      <c r="AQ22" s="490"/>
      <c r="AR22" s="508"/>
      <c r="AS22" s="490" t="str">
        <f>Dizayn!$F$41</f>
        <v>0-5</v>
      </c>
      <c r="AT22" s="490"/>
      <c r="AU22" s="490"/>
      <c r="AV22" s="490"/>
      <c r="AW22" s="490"/>
    </row>
    <row r="23" spans="1:83" ht="14.1" customHeight="1" x14ac:dyDescent="0.25">
      <c r="A23" s="498">
        <f>Dizayn!$A$37</f>
        <v>0.18</v>
      </c>
      <c r="B23" s="499"/>
      <c r="C23" s="500"/>
      <c r="D23" s="501" t="str">
        <f>Dizayn!$B$37</f>
        <v>No.80</v>
      </c>
      <c r="E23" s="502"/>
      <c r="F23" s="503"/>
      <c r="G23" s="509">
        <f>$AQ$18</f>
        <v>0</v>
      </c>
      <c r="H23" s="509"/>
      <c r="I23" s="509"/>
      <c r="J23" s="510">
        <f>$AW$18</f>
        <v>0</v>
      </c>
      <c r="K23" s="510"/>
      <c r="L23" s="510"/>
      <c r="M23" s="510">
        <f>$AQ$33</f>
        <v>0.90040426313856869</v>
      </c>
      <c r="N23" s="510"/>
      <c r="O23" s="510"/>
      <c r="P23" s="510">
        <f>$AW$33</f>
        <v>12.296365914786961</v>
      </c>
      <c r="Q23" s="510"/>
      <c r="R23" s="510"/>
      <c r="S23" s="510">
        <f>$AQ$48</f>
        <v>93.5</v>
      </c>
      <c r="T23" s="510"/>
      <c r="U23" s="510"/>
      <c r="V23" s="506">
        <f ca="1">IFERROR(IF(AND(AI23&lt;=Dizayn!E37,AI23&gt;=Dizayn!F37),ROUND(AI23,1),ROUND(AI23,1)&amp;"X"),"-")</f>
        <v>8.4</v>
      </c>
      <c r="W23" s="506"/>
      <c r="X23" s="506"/>
      <c r="Y23" s="506"/>
      <c r="Z23" s="511" t="str">
        <f ca="1">Dizayn!$E$37&amp;" - "&amp;Dizayn!$F$37</f>
        <v>11,8 - 5,8</v>
      </c>
      <c r="AA23" s="511"/>
      <c r="AB23" s="511"/>
      <c r="AC23" s="511"/>
      <c r="AD23" s="512" t="str">
        <f ca="1">Dizayn!$C$37&amp;" - "&amp;Dizayn!$D$37</f>
        <v>14 - 5</v>
      </c>
      <c r="AE23" s="512"/>
      <c r="AF23" s="512"/>
      <c r="AG23" s="512"/>
      <c r="AH23" s="308"/>
      <c r="AI23" s="507">
        <f>IFERROR(ROUND((($G$23*$G$12/100)+($J$23*$J$12/100)+($M$23*$M$12/100)+($P$23*$P$12/100)+($S$23*$S$12/100)),1),"-")</f>
        <v>8.4</v>
      </c>
      <c r="AJ23" s="507"/>
      <c r="AK23" s="507"/>
      <c r="AL23" s="354"/>
      <c r="AM23" s="493" t="s">
        <v>67</v>
      </c>
      <c r="AN23" s="493"/>
      <c r="AO23" s="494" t="s">
        <v>70</v>
      </c>
      <c r="AP23" s="495" t="s">
        <v>71</v>
      </c>
      <c r="AQ23" s="487" t="s">
        <v>72</v>
      </c>
      <c r="AR23" s="508"/>
      <c r="AS23" s="493" t="s">
        <v>67</v>
      </c>
      <c r="AT23" s="493"/>
      <c r="AU23" s="494" t="s">
        <v>70</v>
      </c>
      <c r="AV23" s="495" t="s">
        <v>71</v>
      </c>
      <c r="AW23" s="487" t="s">
        <v>72</v>
      </c>
    </row>
    <row r="24" spans="1:83" ht="14.1" customHeight="1" x14ac:dyDescent="0.25">
      <c r="A24" s="498">
        <f>Dizayn!$A$38</f>
        <v>7.4999999999999997E-2</v>
      </c>
      <c r="B24" s="499"/>
      <c r="C24" s="500"/>
      <c r="D24" s="501" t="str">
        <f>Dizayn!$B$38</f>
        <v>No.200</v>
      </c>
      <c r="E24" s="502"/>
      <c r="F24" s="503"/>
      <c r="G24" s="504">
        <f>$AQ$19</f>
        <v>0</v>
      </c>
      <c r="H24" s="504"/>
      <c r="I24" s="504"/>
      <c r="J24" s="505">
        <f>$AW$19</f>
        <v>0</v>
      </c>
      <c r="K24" s="505"/>
      <c r="L24" s="505"/>
      <c r="M24" s="505">
        <f>$AQ$34</f>
        <v>0.60180080852629203</v>
      </c>
      <c r="N24" s="505"/>
      <c r="O24" s="505"/>
      <c r="P24" s="505">
        <f>$AW$34</f>
        <v>6.5006265664160452</v>
      </c>
      <c r="Q24" s="505"/>
      <c r="R24" s="505"/>
      <c r="S24" s="505">
        <f>$AQ$49</f>
        <v>76.5</v>
      </c>
      <c r="T24" s="505"/>
      <c r="U24" s="505"/>
      <c r="V24" s="506">
        <f ca="1">IFERROR(IF(AND(AI24&lt;=Dizayn!E38,AI24&gt;=Dizayn!F38),ROUND(AI24,1),ROUND(AI24,1)&amp;"X"),"-")</f>
        <v>5.5</v>
      </c>
      <c r="W24" s="506"/>
      <c r="X24" s="506"/>
      <c r="Y24" s="506"/>
      <c r="Z24" s="496" t="str">
        <f ca="1">Dizayn!$E$38&amp;" - "&amp;Dizayn!$F$38</f>
        <v>7 - 3,25</v>
      </c>
      <c r="AA24" s="496"/>
      <c r="AB24" s="496"/>
      <c r="AC24" s="496"/>
      <c r="AD24" s="497" t="str">
        <f ca="1">Dizayn!$C$38&amp;" - "&amp;Dizayn!$D$38</f>
        <v>7 - 2</v>
      </c>
      <c r="AE24" s="497"/>
      <c r="AF24" s="497"/>
      <c r="AG24" s="497"/>
      <c r="AH24" s="308"/>
      <c r="AI24" s="507">
        <f>IFERROR(ROUND((($G$24*$G$12/100)+($J$24*$J$12/100)+($M$24*$M$12/100)+($P$24*$P$12/100)+($S$24*$S$12/100)),1),"-")</f>
        <v>5.5</v>
      </c>
      <c r="AJ24" s="507"/>
      <c r="AK24" s="507"/>
      <c r="AL24" s="354"/>
      <c r="AM24" s="357" t="s">
        <v>73</v>
      </c>
      <c r="AN24" s="357" t="s">
        <v>74</v>
      </c>
      <c r="AO24" s="494"/>
      <c r="AP24" s="495"/>
      <c r="AQ24" s="487"/>
      <c r="AR24" s="508"/>
      <c r="AS24" s="357" t="s">
        <v>73</v>
      </c>
      <c r="AT24" s="357" t="s">
        <v>74</v>
      </c>
      <c r="AU24" s="494"/>
      <c r="AV24" s="495"/>
      <c r="AW24" s="487"/>
    </row>
    <row r="25" spans="1:83" ht="14.1" customHeight="1" x14ac:dyDescent="0.25">
      <c r="A25" s="139"/>
      <c r="B25" s="219"/>
      <c r="C25" s="135"/>
      <c r="D25" s="135"/>
      <c r="E25" s="135"/>
      <c r="F25" s="135"/>
      <c r="G25" s="135"/>
      <c r="H25" s="135"/>
      <c r="I25" s="135"/>
      <c r="J25" s="135"/>
      <c r="K25" s="135"/>
      <c r="L25" s="219"/>
      <c r="M25" s="219"/>
      <c r="N25" s="135"/>
      <c r="O25" s="135"/>
      <c r="P25" s="135"/>
      <c r="Q25" s="135"/>
      <c r="R25" s="135"/>
      <c r="S25" s="135"/>
      <c r="T25" s="135"/>
      <c r="U25" s="166"/>
      <c r="V25" s="135"/>
      <c r="W25" s="135"/>
      <c r="X25" s="219"/>
      <c r="Y25" s="219"/>
      <c r="Z25" s="219"/>
      <c r="AA25" s="219"/>
      <c r="AB25" s="219"/>
      <c r="AC25" s="219"/>
      <c r="AD25" s="219"/>
      <c r="AE25" s="219"/>
      <c r="AF25" s="219"/>
      <c r="AG25" s="220"/>
      <c r="AH25" s="222"/>
      <c r="AI25" s="366"/>
      <c r="AJ25" s="366"/>
      <c r="AK25" s="366"/>
      <c r="AL25" s="354"/>
      <c r="AM25" s="358">
        <v>37.5</v>
      </c>
      <c r="AN25" s="357" t="s">
        <v>20</v>
      </c>
      <c r="AO25" s="359">
        <v>0</v>
      </c>
      <c r="AP25" s="360">
        <f t="shared" ref="AP25:AP34" si="8">IFERROR((AO25/$AO$35)*100,"Orj.Ağ.?")</f>
        <v>0</v>
      </c>
      <c r="AQ25" s="360">
        <f t="shared" ref="AQ25:AQ34" si="9">IFERROR(100-AP25,0)</f>
        <v>100</v>
      </c>
      <c r="AR25" s="508"/>
      <c r="AS25" s="358">
        <v>37.5</v>
      </c>
      <c r="AT25" s="357" t="s">
        <v>20</v>
      </c>
      <c r="AU25" s="359">
        <v>0</v>
      </c>
      <c r="AV25" s="360">
        <f t="shared" ref="AV25:AV34" si="10">IFERROR((AU25/$AU$35)*100,"Orj.Ağ.?")</f>
        <v>0</v>
      </c>
      <c r="AW25" s="360">
        <f t="shared" ref="AW25:AW34" si="11">IFERROR(100-AV25,0)</f>
        <v>100</v>
      </c>
    </row>
    <row r="26" spans="1:83" ht="14.1" customHeight="1" x14ac:dyDescent="0.25">
      <c r="A26" s="140"/>
      <c r="B26" s="222"/>
      <c r="C26" s="136"/>
      <c r="D26" s="136"/>
      <c r="E26" s="136"/>
      <c r="F26" s="136"/>
      <c r="G26" s="136"/>
      <c r="H26" s="136"/>
      <c r="I26" s="136"/>
      <c r="J26" s="136"/>
      <c r="K26" s="136"/>
      <c r="L26" s="222"/>
      <c r="M26" s="222"/>
      <c r="N26" s="136"/>
      <c r="O26" s="136"/>
      <c r="P26" s="136"/>
      <c r="Q26" s="136"/>
      <c r="R26" s="136"/>
      <c r="S26" s="136"/>
      <c r="T26" s="136"/>
      <c r="U26" s="9"/>
      <c r="V26" s="136"/>
      <c r="W26" s="136"/>
      <c r="X26" s="222"/>
      <c r="Y26" s="222"/>
      <c r="Z26" s="222"/>
      <c r="AA26" s="222"/>
      <c r="AB26" s="222"/>
      <c r="AC26" s="222"/>
      <c r="AD26" s="222"/>
      <c r="AE26" s="222"/>
      <c r="AF26" s="222"/>
      <c r="AG26" s="223"/>
      <c r="AH26" s="222"/>
      <c r="AI26" s="366"/>
      <c r="AJ26" s="366"/>
      <c r="AK26" s="366"/>
      <c r="AL26" s="354"/>
      <c r="AM26" s="358">
        <v>25.4</v>
      </c>
      <c r="AN26" s="357" t="s">
        <v>21</v>
      </c>
      <c r="AO26" s="359">
        <v>0</v>
      </c>
      <c r="AP26" s="360">
        <f t="shared" si="8"/>
        <v>0</v>
      </c>
      <c r="AQ26" s="360">
        <f t="shared" si="9"/>
        <v>100</v>
      </c>
      <c r="AR26" s="508"/>
      <c r="AS26" s="358">
        <v>25.4</v>
      </c>
      <c r="AT26" s="357" t="s">
        <v>21</v>
      </c>
      <c r="AU26" s="359">
        <v>0</v>
      </c>
      <c r="AV26" s="360">
        <f t="shared" si="10"/>
        <v>0</v>
      </c>
      <c r="AW26" s="360">
        <f t="shared" si="11"/>
        <v>100</v>
      </c>
    </row>
    <row r="27" spans="1:83" ht="14.1" customHeight="1" x14ac:dyDescent="0.25">
      <c r="A27" s="140"/>
      <c r="B27" s="222"/>
      <c r="C27" s="136"/>
      <c r="D27" s="136"/>
      <c r="E27" s="136"/>
      <c r="F27" s="136"/>
      <c r="G27" s="136"/>
      <c r="H27" s="136"/>
      <c r="I27" s="136"/>
      <c r="J27" s="136"/>
      <c r="K27" s="136"/>
      <c r="L27" s="222"/>
      <c r="M27" s="222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222"/>
      <c r="Y27" s="222"/>
      <c r="Z27" s="222"/>
      <c r="AA27" s="222"/>
      <c r="AB27" s="222"/>
      <c r="AC27" s="222"/>
      <c r="AD27" s="222"/>
      <c r="AE27" s="222"/>
      <c r="AF27" s="222"/>
      <c r="AG27" s="223"/>
      <c r="AH27" s="222"/>
      <c r="AI27" s="366"/>
      <c r="AJ27" s="366"/>
      <c r="AK27" s="366"/>
      <c r="AL27" s="354"/>
      <c r="AM27" s="358">
        <v>19.100000000000001</v>
      </c>
      <c r="AN27" s="357" t="s">
        <v>22</v>
      </c>
      <c r="AO27" s="359">
        <v>0</v>
      </c>
      <c r="AP27" s="360">
        <f t="shared" si="8"/>
        <v>0</v>
      </c>
      <c r="AQ27" s="360">
        <f t="shared" si="9"/>
        <v>100</v>
      </c>
      <c r="AR27" s="508"/>
      <c r="AS27" s="358">
        <v>19.100000000000001</v>
      </c>
      <c r="AT27" s="357" t="s">
        <v>22</v>
      </c>
      <c r="AU27" s="359">
        <v>0</v>
      </c>
      <c r="AV27" s="360">
        <f t="shared" si="10"/>
        <v>0</v>
      </c>
      <c r="AW27" s="360">
        <f t="shared" si="11"/>
        <v>100</v>
      </c>
    </row>
    <row r="28" spans="1:83" ht="14.1" customHeight="1" x14ac:dyDescent="0.25">
      <c r="A28" s="140"/>
      <c r="B28" s="222"/>
      <c r="C28" s="136"/>
      <c r="D28" s="136"/>
      <c r="E28" s="136"/>
      <c r="F28" s="136"/>
      <c r="G28" s="136"/>
      <c r="H28" s="136"/>
      <c r="I28" s="136"/>
      <c r="J28" s="136"/>
      <c r="K28" s="136"/>
      <c r="L28" s="222"/>
      <c r="M28" s="222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222"/>
      <c r="Y28" s="222"/>
      <c r="Z28" s="222"/>
      <c r="AA28" s="222"/>
      <c r="AB28" s="222"/>
      <c r="AC28" s="222"/>
      <c r="AD28" s="222"/>
      <c r="AE28" s="222"/>
      <c r="AF28" s="222"/>
      <c r="AG28" s="223"/>
      <c r="AH28" s="222"/>
      <c r="AI28" s="366"/>
      <c r="AJ28" s="366"/>
      <c r="AK28" s="366"/>
      <c r="AL28" s="354"/>
      <c r="AM28" s="358">
        <v>12.7</v>
      </c>
      <c r="AN28" s="357" t="s">
        <v>23</v>
      </c>
      <c r="AO28" s="359">
        <v>0</v>
      </c>
      <c r="AP28" s="360">
        <f t="shared" si="8"/>
        <v>0</v>
      </c>
      <c r="AQ28" s="360">
        <f t="shared" si="9"/>
        <v>100</v>
      </c>
      <c r="AR28" s="508"/>
      <c r="AS28" s="358">
        <v>12.7</v>
      </c>
      <c r="AT28" s="357" t="s">
        <v>23</v>
      </c>
      <c r="AU28" s="359">
        <v>0</v>
      </c>
      <c r="AV28" s="360">
        <f t="shared" si="10"/>
        <v>0</v>
      </c>
      <c r="AW28" s="360">
        <f t="shared" si="11"/>
        <v>100</v>
      </c>
    </row>
    <row r="29" spans="1:83" ht="14.1" customHeight="1" x14ac:dyDescent="0.25">
      <c r="A29" s="140"/>
      <c r="B29" s="222"/>
      <c r="C29" s="136"/>
      <c r="D29" s="136"/>
      <c r="E29" s="136"/>
      <c r="F29" s="136"/>
      <c r="G29" s="136"/>
      <c r="H29" s="136"/>
      <c r="I29" s="136"/>
      <c r="J29" s="136"/>
      <c r="K29" s="136"/>
      <c r="L29" s="222"/>
      <c r="M29" s="222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222"/>
      <c r="Y29" s="222"/>
      <c r="Z29" s="222"/>
      <c r="AA29" s="222"/>
      <c r="AB29" s="222"/>
      <c r="AC29" s="222"/>
      <c r="AD29" s="222"/>
      <c r="AE29" s="222"/>
      <c r="AF29" s="222"/>
      <c r="AG29" s="223"/>
      <c r="AH29" s="222"/>
      <c r="AI29" s="366"/>
      <c r="AJ29" s="366"/>
      <c r="AK29" s="366"/>
      <c r="AL29" s="354"/>
      <c r="AM29" s="358">
        <v>9.52</v>
      </c>
      <c r="AN29" s="357" t="s">
        <v>24</v>
      </c>
      <c r="AO29" s="359">
        <v>367.9</v>
      </c>
      <c r="AP29" s="360">
        <f t="shared" si="8"/>
        <v>16.900955531054755</v>
      </c>
      <c r="AQ29" s="360">
        <f t="shared" si="9"/>
        <v>83.099044468945237</v>
      </c>
      <c r="AR29" s="508"/>
      <c r="AS29" s="358">
        <v>9.52</v>
      </c>
      <c r="AT29" s="357" t="s">
        <v>24</v>
      </c>
      <c r="AU29" s="359">
        <v>0</v>
      </c>
      <c r="AV29" s="360">
        <f t="shared" si="10"/>
        <v>0</v>
      </c>
      <c r="AW29" s="360">
        <f t="shared" si="11"/>
        <v>100</v>
      </c>
    </row>
    <row r="30" spans="1:83" ht="14.1" customHeight="1" x14ac:dyDescent="0.25">
      <c r="A30" s="140"/>
      <c r="B30" s="222"/>
      <c r="C30" s="136"/>
      <c r="D30" s="136"/>
      <c r="E30" s="136"/>
      <c r="F30" s="136"/>
      <c r="G30" s="136"/>
      <c r="H30" s="136"/>
      <c r="I30" s="136"/>
      <c r="J30" s="136"/>
      <c r="K30" s="136"/>
      <c r="L30" s="222"/>
      <c r="M30" s="222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222"/>
      <c r="Y30" s="222"/>
      <c r="Z30" s="222"/>
      <c r="AA30" s="222"/>
      <c r="AB30" s="222"/>
      <c r="AC30" s="222"/>
      <c r="AD30" s="222"/>
      <c r="AE30" s="222"/>
      <c r="AF30" s="222"/>
      <c r="AG30" s="223"/>
      <c r="AH30" s="222"/>
      <c r="AI30" s="366"/>
      <c r="AJ30" s="366"/>
      <c r="AK30" s="366"/>
      <c r="AL30" s="354"/>
      <c r="AM30" s="358">
        <v>4.76</v>
      </c>
      <c r="AN30" s="357" t="s">
        <v>25</v>
      </c>
      <c r="AO30" s="359">
        <v>1887.3</v>
      </c>
      <c r="AP30" s="360">
        <f t="shared" si="8"/>
        <v>86.700661521499441</v>
      </c>
      <c r="AQ30" s="360">
        <f t="shared" si="9"/>
        <v>13.299338478500559</v>
      </c>
      <c r="AR30" s="508"/>
      <c r="AS30" s="358">
        <v>4.76</v>
      </c>
      <c r="AT30" s="357" t="s">
        <v>25</v>
      </c>
      <c r="AU30" s="359">
        <v>37</v>
      </c>
      <c r="AV30" s="360">
        <f t="shared" si="10"/>
        <v>2.8978696741854639</v>
      </c>
      <c r="AW30" s="360">
        <f t="shared" si="11"/>
        <v>97.102130325814542</v>
      </c>
    </row>
    <row r="31" spans="1:83" ht="14.1" customHeight="1" x14ac:dyDescent="0.25">
      <c r="A31" s="140"/>
      <c r="B31" s="222"/>
      <c r="C31" s="136"/>
      <c r="D31" s="136"/>
      <c r="E31" s="136"/>
      <c r="F31" s="136"/>
      <c r="G31" s="136"/>
      <c r="H31" s="136"/>
      <c r="I31" s="136"/>
      <c r="J31" s="136"/>
      <c r="K31" s="136"/>
      <c r="L31" s="222"/>
      <c r="M31" s="222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222"/>
      <c r="Y31" s="222"/>
      <c r="Z31" s="222"/>
      <c r="AA31" s="222"/>
      <c r="AB31" s="222"/>
      <c r="AC31" s="222"/>
      <c r="AD31" s="222"/>
      <c r="AE31" s="222"/>
      <c r="AF31" s="222"/>
      <c r="AG31" s="223"/>
      <c r="AH31" s="222"/>
      <c r="AI31" s="366"/>
      <c r="AJ31" s="366"/>
      <c r="AK31" s="366"/>
      <c r="AL31" s="354"/>
      <c r="AM31" s="358">
        <v>2</v>
      </c>
      <c r="AN31" s="357" t="s">
        <v>26</v>
      </c>
      <c r="AO31" s="359">
        <v>2076.6999999999998</v>
      </c>
      <c r="AP31" s="360">
        <f t="shared" si="8"/>
        <v>95.401506798970942</v>
      </c>
      <c r="AQ31" s="360">
        <f t="shared" si="9"/>
        <v>4.5984932010290578</v>
      </c>
      <c r="AR31" s="508"/>
      <c r="AS31" s="358">
        <v>2</v>
      </c>
      <c r="AT31" s="357" t="s">
        <v>26</v>
      </c>
      <c r="AU31" s="359">
        <v>517.1</v>
      </c>
      <c r="AV31" s="360">
        <f t="shared" si="10"/>
        <v>40.499686716791985</v>
      </c>
      <c r="AW31" s="360">
        <f t="shared" si="11"/>
        <v>59.500313283208015</v>
      </c>
    </row>
    <row r="32" spans="1:83" ht="14.1" customHeight="1" x14ac:dyDescent="0.25">
      <c r="A32" s="140"/>
      <c r="B32" s="222"/>
      <c r="C32" s="136"/>
      <c r="D32" s="136"/>
      <c r="E32" s="136"/>
      <c r="F32" s="136"/>
      <c r="G32" s="136"/>
      <c r="H32" s="136"/>
      <c r="I32" s="136"/>
      <c r="J32" s="136"/>
      <c r="K32" s="136"/>
      <c r="L32" s="222"/>
      <c r="M32" s="222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222"/>
      <c r="Y32" s="222"/>
      <c r="Z32" s="222"/>
      <c r="AA32" s="222"/>
      <c r="AB32" s="222"/>
      <c r="AC32" s="222"/>
      <c r="AD32" s="222"/>
      <c r="AE32" s="222"/>
      <c r="AF32" s="222"/>
      <c r="AG32" s="223"/>
      <c r="AH32" s="222"/>
      <c r="AI32" s="366"/>
      <c r="AJ32" s="366"/>
      <c r="AK32" s="366"/>
      <c r="AL32" s="354"/>
      <c r="AM32" s="358">
        <v>0.42</v>
      </c>
      <c r="AN32" s="357" t="s">
        <v>27</v>
      </c>
      <c r="AO32" s="359">
        <v>2126.6999999999998</v>
      </c>
      <c r="AP32" s="360">
        <f t="shared" si="8"/>
        <v>97.698456449834609</v>
      </c>
      <c r="AQ32" s="360">
        <f t="shared" si="9"/>
        <v>2.3015435501653911</v>
      </c>
      <c r="AR32" s="508"/>
      <c r="AS32" s="358">
        <v>0.42</v>
      </c>
      <c r="AT32" s="357" t="s">
        <v>27</v>
      </c>
      <c r="AU32" s="359">
        <v>992.1</v>
      </c>
      <c r="AV32" s="360">
        <f t="shared" si="10"/>
        <v>77.702067669172934</v>
      </c>
      <c r="AW32" s="360">
        <f t="shared" si="11"/>
        <v>22.297932330827066</v>
      </c>
    </row>
    <row r="33" spans="1:49" ht="14.1" customHeight="1" x14ac:dyDescent="0.25">
      <c r="A33" s="140"/>
      <c r="B33" s="222"/>
      <c r="C33" s="136"/>
      <c r="D33" s="136"/>
      <c r="E33" s="136"/>
      <c r="F33" s="136"/>
      <c r="G33" s="136"/>
      <c r="H33" s="136"/>
      <c r="I33" s="136"/>
      <c r="J33" s="136"/>
      <c r="K33" s="136"/>
      <c r="L33" s="222"/>
      <c r="M33" s="222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222"/>
      <c r="Y33" s="222"/>
      <c r="Z33" s="222"/>
      <c r="AA33" s="222"/>
      <c r="AB33" s="222"/>
      <c r="AC33" s="222"/>
      <c r="AD33" s="222"/>
      <c r="AE33" s="222"/>
      <c r="AF33" s="222"/>
      <c r="AG33" s="223"/>
      <c r="AH33" s="222"/>
      <c r="AI33" s="366"/>
      <c r="AJ33" s="366"/>
      <c r="AK33" s="366"/>
      <c r="AL33" s="354"/>
      <c r="AM33" s="358">
        <v>0.18</v>
      </c>
      <c r="AN33" s="357" t="s">
        <v>28</v>
      </c>
      <c r="AO33" s="359">
        <v>2157.1999999999998</v>
      </c>
      <c r="AP33" s="360">
        <f t="shared" si="8"/>
        <v>99.099595736861431</v>
      </c>
      <c r="AQ33" s="360">
        <f t="shared" si="9"/>
        <v>0.90040426313856869</v>
      </c>
      <c r="AR33" s="508"/>
      <c r="AS33" s="358">
        <v>0.18</v>
      </c>
      <c r="AT33" s="357" t="s">
        <v>28</v>
      </c>
      <c r="AU33" s="359">
        <v>1119.8</v>
      </c>
      <c r="AV33" s="360">
        <f t="shared" si="10"/>
        <v>87.703634085213039</v>
      </c>
      <c r="AW33" s="360">
        <f t="shared" si="11"/>
        <v>12.296365914786961</v>
      </c>
    </row>
    <row r="34" spans="1:49" ht="14.1" customHeight="1" x14ac:dyDescent="0.25">
      <c r="A34" s="140"/>
      <c r="B34" s="222"/>
      <c r="C34" s="136"/>
      <c r="D34" s="136"/>
      <c r="E34" s="136"/>
      <c r="F34" s="136"/>
      <c r="G34" s="136"/>
      <c r="H34" s="136"/>
      <c r="I34" s="136"/>
      <c r="J34" s="136"/>
      <c r="K34" s="136"/>
      <c r="L34" s="222"/>
      <c r="M34" s="222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222"/>
      <c r="Y34" s="222"/>
      <c r="Z34" s="222"/>
      <c r="AA34" s="222"/>
      <c r="AB34" s="222"/>
      <c r="AC34" s="222"/>
      <c r="AD34" s="222"/>
      <c r="AE34" s="222"/>
      <c r="AF34" s="222"/>
      <c r="AG34" s="223"/>
      <c r="AH34" s="222"/>
      <c r="AI34" s="366"/>
      <c r="AJ34" s="366"/>
      <c r="AK34" s="366"/>
      <c r="AL34" s="354"/>
      <c r="AM34" s="358">
        <v>7.4999999999999997E-2</v>
      </c>
      <c r="AN34" s="357" t="s">
        <v>29</v>
      </c>
      <c r="AO34" s="359">
        <v>2163.6999999999998</v>
      </c>
      <c r="AP34" s="360">
        <f t="shared" si="8"/>
        <v>99.398199191473708</v>
      </c>
      <c r="AQ34" s="360">
        <f t="shared" si="9"/>
        <v>0.60180080852629203</v>
      </c>
      <c r="AR34" s="508"/>
      <c r="AS34" s="358">
        <v>7.4999999999999997E-2</v>
      </c>
      <c r="AT34" s="357" t="s">
        <v>29</v>
      </c>
      <c r="AU34" s="359">
        <v>1193.8</v>
      </c>
      <c r="AV34" s="360">
        <f t="shared" si="10"/>
        <v>93.499373433583955</v>
      </c>
      <c r="AW34" s="360">
        <f t="shared" si="11"/>
        <v>6.5006265664160452</v>
      </c>
    </row>
    <row r="35" spans="1:49" ht="14.1" customHeight="1" x14ac:dyDescent="0.25">
      <c r="A35" s="140"/>
      <c r="B35" s="222"/>
      <c r="C35" s="136"/>
      <c r="D35" s="136"/>
      <c r="E35" s="136"/>
      <c r="F35" s="136"/>
      <c r="G35" s="136"/>
      <c r="H35" s="136"/>
      <c r="I35" s="136"/>
      <c r="J35" s="136"/>
      <c r="K35" s="136"/>
      <c r="L35" s="222"/>
      <c r="M35" s="222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222"/>
      <c r="Y35" s="222"/>
      <c r="Z35" s="222"/>
      <c r="AA35" s="222"/>
      <c r="AB35" s="222"/>
      <c r="AC35" s="222"/>
      <c r="AD35" s="222"/>
      <c r="AE35" s="222"/>
      <c r="AF35" s="222"/>
      <c r="AG35" s="223"/>
      <c r="AH35" s="222"/>
      <c r="AI35" s="366"/>
      <c r="AJ35" s="366"/>
      <c r="AK35" s="366"/>
      <c r="AL35" s="354"/>
      <c r="AM35" s="487" t="s">
        <v>75</v>
      </c>
      <c r="AN35" s="487"/>
      <c r="AO35" s="364">
        <v>2176.8000000000002</v>
      </c>
      <c r="AP35" s="365"/>
      <c r="AQ35" s="365"/>
      <c r="AR35" s="508"/>
      <c r="AS35" s="487" t="s">
        <v>75</v>
      </c>
      <c r="AT35" s="487"/>
      <c r="AU35" s="364">
        <v>1276.8</v>
      </c>
      <c r="AV35" s="365"/>
      <c r="AW35" s="365"/>
    </row>
    <row r="36" spans="1:49" ht="14.1" customHeight="1" x14ac:dyDescent="0.25">
      <c r="A36" s="140"/>
      <c r="B36" s="222"/>
      <c r="C36" s="136"/>
      <c r="D36" s="136"/>
      <c r="E36" s="136"/>
      <c r="F36" s="136"/>
      <c r="G36" s="136"/>
      <c r="H36" s="136"/>
      <c r="I36" s="136"/>
      <c r="J36" s="136"/>
      <c r="K36" s="136"/>
      <c r="L36" s="222"/>
      <c r="M36" s="222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222"/>
      <c r="Y36" s="222"/>
      <c r="Z36" s="222"/>
      <c r="AA36" s="222"/>
      <c r="AB36" s="222"/>
      <c r="AC36" s="222"/>
      <c r="AD36" s="222"/>
      <c r="AE36" s="222"/>
      <c r="AF36" s="222"/>
      <c r="AG36" s="223"/>
      <c r="AH36" s="222"/>
      <c r="AI36" s="366"/>
      <c r="AJ36" s="366"/>
      <c r="AK36" s="366"/>
      <c r="AL36" s="354"/>
      <c r="AM36" s="488"/>
      <c r="AN36" s="489"/>
      <c r="AO36" s="489"/>
      <c r="AP36" s="489"/>
      <c r="AQ36" s="489"/>
      <c r="AR36" s="489"/>
      <c r="AS36" s="489"/>
      <c r="AT36" s="489"/>
      <c r="AU36" s="489"/>
      <c r="AV36" s="489"/>
      <c r="AW36" s="489"/>
    </row>
    <row r="37" spans="1:49" ht="14.1" customHeight="1" x14ac:dyDescent="0.25">
      <c r="A37" s="140"/>
      <c r="B37" s="222"/>
      <c r="C37" s="136"/>
      <c r="D37" s="136"/>
      <c r="E37" s="136"/>
      <c r="F37" s="136"/>
      <c r="G37" s="136"/>
      <c r="H37" s="136"/>
      <c r="I37" s="136"/>
      <c r="J37" s="136"/>
      <c r="K37" s="136"/>
      <c r="L37" s="222"/>
      <c r="M37" s="222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222"/>
      <c r="Y37" s="222"/>
      <c r="Z37" s="222"/>
      <c r="AA37" s="222"/>
      <c r="AB37" s="222"/>
      <c r="AC37" s="222"/>
      <c r="AD37" s="222"/>
      <c r="AE37" s="222"/>
      <c r="AF37" s="222"/>
      <c r="AG37" s="223"/>
      <c r="AH37" s="222"/>
      <c r="AI37" s="366"/>
      <c r="AJ37" s="366"/>
      <c r="AK37" s="366"/>
      <c r="AL37" s="354"/>
      <c r="AM37" s="490" t="str">
        <f>Dizayn!$G$41</f>
        <v>Filler</v>
      </c>
      <c r="AN37" s="490"/>
      <c r="AO37" s="490"/>
      <c r="AP37" s="490"/>
      <c r="AQ37" s="490"/>
      <c r="AR37" s="491"/>
      <c r="AS37" s="490"/>
      <c r="AT37" s="490"/>
      <c r="AU37" s="490"/>
      <c r="AV37" s="490"/>
      <c r="AW37" s="490"/>
    </row>
    <row r="38" spans="1:49" ht="14.1" customHeight="1" x14ac:dyDescent="0.25">
      <c r="A38" s="140"/>
      <c r="B38" s="222"/>
      <c r="C38" s="136"/>
      <c r="D38" s="136"/>
      <c r="E38" s="136"/>
      <c r="F38" s="136"/>
      <c r="G38" s="136"/>
      <c r="H38" s="136"/>
      <c r="I38" s="136"/>
      <c r="J38" s="136"/>
      <c r="K38" s="136"/>
      <c r="L38" s="222"/>
      <c r="M38" s="222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222"/>
      <c r="Y38" s="222"/>
      <c r="Z38" s="222"/>
      <c r="AA38" s="222"/>
      <c r="AB38" s="222"/>
      <c r="AC38" s="222"/>
      <c r="AD38" s="222"/>
      <c r="AE38" s="222"/>
      <c r="AF38" s="222"/>
      <c r="AG38" s="223"/>
      <c r="AH38" s="222"/>
      <c r="AI38" s="366"/>
      <c r="AJ38" s="366"/>
      <c r="AK38" s="366"/>
      <c r="AL38" s="354"/>
      <c r="AM38" s="493" t="s">
        <v>67</v>
      </c>
      <c r="AN38" s="493"/>
      <c r="AO38" s="494" t="s">
        <v>70</v>
      </c>
      <c r="AP38" s="495" t="s">
        <v>71</v>
      </c>
      <c r="AQ38" s="487" t="s">
        <v>72</v>
      </c>
      <c r="AR38" s="491"/>
      <c r="AS38" s="493"/>
      <c r="AT38" s="493"/>
      <c r="AU38" s="494"/>
      <c r="AV38" s="495"/>
      <c r="AW38" s="487"/>
    </row>
    <row r="39" spans="1:49" ht="14.1" customHeight="1" x14ac:dyDescent="0.25">
      <c r="A39" s="140"/>
      <c r="B39" s="222"/>
      <c r="C39" s="136"/>
      <c r="D39" s="136"/>
      <c r="E39" s="136"/>
      <c r="F39" s="136"/>
      <c r="G39" s="136"/>
      <c r="H39" s="136"/>
      <c r="I39" s="136"/>
      <c r="J39" s="136"/>
      <c r="K39" s="136"/>
      <c r="L39" s="222"/>
      <c r="M39" s="222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222"/>
      <c r="Y39" s="222"/>
      <c r="Z39" s="222"/>
      <c r="AA39" s="222"/>
      <c r="AB39" s="222"/>
      <c r="AC39" s="222"/>
      <c r="AD39" s="222"/>
      <c r="AE39" s="222"/>
      <c r="AF39" s="222"/>
      <c r="AG39" s="223"/>
      <c r="AH39" s="222"/>
      <c r="AI39" s="366"/>
      <c r="AJ39" s="366"/>
      <c r="AK39" s="366"/>
      <c r="AL39" s="354"/>
      <c r="AM39" s="358" t="s">
        <v>73</v>
      </c>
      <c r="AN39" s="357" t="s">
        <v>74</v>
      </c>
      <c r="AO39" s="494"/>
      <c r="AP39" s="495"/>
      <c r="AQ39" s="487"/>
      <c r="AR39" s="491"/>
      <c r="AS39" s="357"/>
      <c r="AT39" s="357"/>
      <c r="AU39" s="494"/>
      <c r="AV39" s="495"/>
      <c r="AW39" s="487"/>
    </row>
    <row r="40" spans="1:49" ht="14.1" customHeight="1" x14ac:dyDescent="0.25">
      <c r="A40" s="140"/>
      <c r="B40" s="222"/>
      <c r="C40" s="136"/>
      <c r="D40" s="136"/>
      <c r="E40" s="136"/>
      <c r="F40" s="136"/>
      <c r="G40" s="136"/>
      <c r="H40" s="136"/>
      <c r="I40" s="136"/>
      <c r="J40" s="136"/>
      <c r="K40" s="136"/>
      <c r="L40" s="222"/>
      <c r="M40" s="222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222"/>
      <c r="Y40" s="222"/>
      <c r="Z40" s="222"/>
      <c r="AA40" s="222"/>
      <c r="AB40" s="222"/>
      <c r="AC40" s="222"/>
      <c r="AD40" s="222"/>
      <c r="AE40" s="222"/>
      <c r="AF40" s="222"/>
      <c r="AG40" s="223"/>
      <c r="AH40" s="222"/>
      <c r="AI40" s="366"/>
      <c r="AJ40" s="366"/>
      <c r="AK40" s="366"/>
      <c r="AL40" s="354"/>
      <c r="AM40" s="358">
        <v>37.5</v>
      </c>
      <c r="AN40" s="357" t="s">
        <v>20</v>
      </c>
      <c r="AO40" s="359">
        <v>0</v>
      </c>
      <c r="AP40" s="360">
        <f t="shared" ref="AP40:AP49" si="12">IFERROR((AO40/$AO$50)*100,"Orj.Ağ.?")</f>
        <v>0</v>
      </c>
      <c r="AQ40" s="360">
        <f t="shared" ref="AQ40:AQ49" si="13">IFERROR(100-AP40,0)</f>
        <v>100</v>
      </c>
      <c r="AR40" s="491"/>
      <c r="AS40" s="358"/>
      <c r="AT40" s="357"/>
      <c r="AU40" s="357"/>
      <c r="AV40" s="360"/>
      <c r="AW40" s="360"/>
    </row>
    <row r="41" spans="1:49" ht="14.1" customHeight="1" x14ac:dyDescent="0.25">
      <c r="A41" s="140"/>
      <c r="B41" s="222"/>
      <c r="C41" s="136"/>
      <c r="D41" s="136"/>
      <c r="E41" s="136"/>
      <c r="F41" s="136"/>
      <c r="G41" s="136"/>
      <c r="H41" s="136"/>
      <c r="I41" s="136"/>
      <c r="J41" s="136"/>
      <c r="K41" s="136"/>
      <c r="L41" s="222"/>
      <c r="M41" s="222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222"/>
      <c r="Y41" s="222"/>
      <c r="Z41" s="222"/>
      <c r="AA41" s="222"/>
      <c r="AB41" s="222"/>
      <c r="AC41" s="222"/>
      <c r="AD41" s="222"/>
      <c r="AE41" s="222"/>
      <c r="AF41" s="222"/>
      <c r="AG41" s="223"/>
      <c r="AH41" s="222"/>
      <c r="AI41" s="366"/>
      <c r="AJ41" s="366"/>
      <c r="AK41" s="366"/>
      <c r="AL41" s="354"/>
      <c r="AM41" s="358">
        <v>25.4</v>
      </c>
      <c r="AN41" s="357" t="s">
        <v>21</v>
      </c>
      <c r="AO41" s="359">
        <v>0</v>
      </c>
      <c r="AP41" s="360">
        <f t="shared" si="12"/>
        <v>0</v>
      </c>
      <c r="AQ41" s="360">
        <f t="shared" si="13"/>
        <v>100</v>
      </c>
      <c r="AR41" s="491"/>
      <c r="AS41" s="358"/>
      <c r="AT41" s="357"/>
      <c r="AU41" s="357"/>
      <c r="AV41" s="360"/>
      <c r="AW41" s="360"/>
    </row>
    <row r="42" spans="1:49" ht="14.1" customHeight="1" x14ac:dyDescent="0.25">
      <c r="A42" s="140"/>
      <c r="B42" s="222"/>
      <c r="C42" s="136"/>
      <c r="D42" s="136"/>
      <c r="E42" s="136"/>
      <c r="F42" s="136"/>
      <c r="G42" s="136"/>
      <c r="H42" s="136"/>
      <c r="I42" s="136"/>
      <c r="J42" s="136"/>
      <c r="K42" s="136"/>
      <c r="L42" s="222"/>
      <c r="M42" s="222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222"/>
      <c r="Y42" s="222"/>
      <c r="Z42" s="222"/>
      <c r="AA42" s="222"/>
      <c r="AB42" s="222"/>
      <c r="AC42" s="222"/>
      <c r="AD42" s="222"/>
      <c r="AE42" s="222"/>
      <c r="AF42" s="222"/>
      <c r="AG42" s="223"/>
      <c r="AH42" s="222"/>
      <c r="AI42" s="366"/>
      <c r="AJ42" s="366"/>
      <c r="AK42" s="366"/>
      <c r="AL42" s="354"/>
      <c r="AM42" s="358">
        <v>19.100000000000001</v>
      </c>
      <c r="AN42" s="357" t="s">
        <v>22</v>
      </c>
      <c r="AO42" s="359">
        <v>0</v>
      </c>
      <c r="AP42" s="360">
        <f t="shared" si="12"/>
        <v>0</v>
      </c>
      <c r="AQ42" s="360">
        <f t="shared" si="13"/>
        <v>100</v>
      </c>
      <c r="AR42" s="491"/>
      <c r="AS42" s="358"/>
      <c r="AT42" s="357"/>
      <c r="AU42" s="357"/>
      <c r="AV42" s="360"/>
      <c r="AW42" s="360"/>
    </row>
    <row r="43" spans="1:49" ht="14.1" customHeight="1" x14ac:dyDescent="0.25">
      <c r="A43" s="140"/>
      <c r="B43" s="222"/>
      <c r="C43" s="136"/>
      <c r="D43" s="136"/>
      <c r="E43" s="136"/>
      <c r="F43" s="136"/>
      <c r="G43" s="136"/>
      <c r="H43" s="136"/>
      <c r="I43" s="136"/>
      <c r="J43" s="136"/>
      <c r="K43" s="136"/>
      <c r="L43" s="222"/>
      <c r="M43" s="222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222"/>
      <c r="Y43" s="222"/>
      <c r="Z43" s="222"/>
      <c r="AA43" s="222"/>
      <c r="AB43" s="222"/>
      <c r="AC43" s="222"/>
      <c r="AD43" s="222"/>
      <c r="AE43" s="222"/>
      <c r="AF43" s="222"/>
      <c r="AG43" s="223"/>
      <c r="AH43" s="222"/>
      <c r="AI43" s="366"/>
      <c r="AJ43" s="366"/>
      <c r="AK43" s="366"/>
      <c r="AL43" s="354"/>
      <c r="AM43" s="358">
        <v>12.7</v>
      </c>
      <c r="AN43" s="357" t="s">
        <v>23</v>
      </c>
      <c r="AO43" s="359">
        <v>0</v>
      </c>
      <c r="AP43" s="360">
        <f t="shared" si="12"/>
        <v>0</v>
      </c>
      <c r="AQ43" s="360">
        <f t="shared" si="13"/>
        <v>100</v>
      </c>
      <c r="AR43" s="491"/>
      <c r="AS43" s="358"/>
      <c r="AT43" s="357"/>
      <c r="AU43" s="357"/>
      <c r="AV43" s="360"/>
      <c r="AW43" s="360"/>
    </row>
    <row r="44" spans="1:49" ht="14.1" customHeight="1" x14ac:dyDescent="0.25">
      <c r="A44" s="140"/>
      <c r="B44" s="222"/>
      <c r="C44" s="136"/>
      <c r="D44" s="136"/>
      <c r="E44" s="136"/>
      <c r="F44" s="136"/>
      <c r="G44" s="136"/>
      <c r="H44" s="136"/>
      <c r="I44" s="136"/>
      <c r="J44" s="136"/>
      <c r="K44" s="136"/>
      <c r="L44" s="222"/>
      <c r="M44" s="222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222"/>
      <c r="Y44" s="222"/>
      <c r="Z44" s="222"/>
      <c r="AA44" s="222"/>
      <c r="AB44" s="222"/>
      <c r="AC44" s="222"/>
      <c r="AD44" s="222"/>
      <c r="AE44" s="222"/>
      <c r="AF44" s="222"/>
      <c r="AG44" s="223"/>
      <c r="AH44" s="222"/>
      <c r="AI44" s="366"/>
      <c r="AJ44" s="366"/>
      <c r="AK44" s="366"/>
      <c r="AL44" s="354"/>
      <c r="AM44" s="358">
        <v>9.52</v>
      </c>
      <c r="AN44" s="357" t="s">
        <v>24</v>
      </c>
      <c r="AO44" s="359">
        <v>0</v>
      </c>
      <c r="AP44" s="360">
        <f t="shared" si="12"/>
        <v>0</v>
      </c>
      <c r="AQ44" s="360">
        <f t="shared" si="13"/>
        <v>100</v>
      </c>
      <c r="AR44" s="491"/>
      <c r="AS44" s="358"/>
      <c r="AT44" s="357"/>
      <c r="AU44" s="357"/>
      <c r="AV44" s="360"/>
      <c r="AW44" s="360"/>
    </row>
    <row r="45" spans="1:49" ht="14.1" customHeight="1" x14ac:dyDescent="0.25">
      <c r="A45" s="140"/>
      <c r="B45" s="222"/>
      <c r="C45" s="136"/>
      <c r="D45" s="136"/>
      <c r="E45" s="136"/>
      <c r="F45" s="136"/>
      <c r="G45" s="136"/>
      <c r="H45" s="136"/>
      <c r="I45" s="136"/>
      <c r="J45" s="136"/>
      <c r="K45" s="136"/>
      <c r="L45" s="222"/>
      <c r="M45" s="222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222"/>
      <c r="Y45" s="222"/>
      <c r="Z45" s="222"/>
      <c r="AA45" s="222"/>
      <c r="AB45" s="222"/>
      <c r="AC45" s="222"/>
      <c r="AD45" s="222"/>
      <c r="AE45" s="222"/>
      <c r="AF45" s="222"/>
      <c r="AG45" s="223"/>
      <c r="AH45" s="222"/>
      <c r="AI45" s="366"/>
      <c r="AJ45" s="366"/>
      <c r="AK45" s="366"/>
      <c r="AL45" s="354"/>
      <c r="AM45" s="358">
        <v>4.76</v>
      </c>
      <c r="AN45" s="357" t="s">
        <v>25</v>
      </c>
      <c r="AO45" s="359">
        <v>0</v>
      </c>
      <c r="AP45" s="360">
        <f t="shared" si="12"/>
        <v>0</v>
      </c>
      <c r="AQ45" s="360">
        <f t="shared" si="13"/>
        <v>100</v>
      </c>
      <c r="AR45" s="491"/>
      <c r="AS45" s="358"/>
      <c r="AT45" s="357"/>
      <c r="AU45" s="357"/>
      <c r="AV45" s="360"/>
      <c r="AW45" s="360"/>
    </row>
    <row r="46" spans="1:49" ht="14.1" customHeight="1" x14ac:dyDescent="0.25">
      <c r="A46" s="140"/>
      <c r="B46" s="222"/>
      <c r="C46" s="136"/>
      <c r="D46" s="136"/>
      <c r="E46" s="136"/>
      <c r="F46" s="136"/>
      <c r="G46" s="136"/>
      <c r="H46" s="136"/>
      <c r="I46" s="136"/>
      <c r="J46" s="136"/>
      <c r="K46" s="136"/>
      <c r="L46" s="222"/>
      <c r="M46" s="222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222"/>
      <c r="Y46" s="222"/>
      <c r="Z46" s="222"/>
      <c r="AA46" s="222"/>
      <c r="AB46" s="222"/>
      <c r="AC46" s="222"/>
      <c r="AD46" s="222"/>
      <c r="AE46" s="222"/>
      <c r="AF46" s="222"/>
      <c r="AG46" s="223"/>
      <c r="AH46" s="222"/>
      <c r="AI46" s="366"/>
      <c r="AJ46" s="366"/>
      <c r="AK46" s="366"/>
      <c r="AL46" s="354"/>
      <c r="AM46" s="358">
        <v>2</v>
      </c>
      <c r="AN46" s="357" t="s">
        <v>26</v>
      </c>
      <c r="AO46" s="359">
        <v>0</v>
      </c>
      <c r="AP46" s="360">
        <f t="shared" si="12"/>
        <v>0</v>
      </c>
      <c r="AQ46" s="360">
        <f t="shared" si="13"/>
        <v>100</v>
      </c>
      <c r="AR46" s="491"/>
      <c r="AS46" s="358"/>
      <c r="AT46" s="357"/>
      <c r="AU46" s="357"/>
      <c r="AV46" s="360"/>
      <c r="AW46" s="360"/>
    </row>
    <row r="47" spans="1:49" ht="14.1" customHeight="1" x14ac:dyDescent="0.25">
      <c r="A47" s="140"/>
      <c r="B47" s="222"/>
      <c r="C47" s="136"/>
      <c r="D47" s="136"/>
      <c r="E47" s="136"/>
      <c r="F47" s="136"/>
      <c r="G47" s="136"/>
      <c r="H47" s="136"/>
      <c r="I47" s="136"/>
      <c r="J47" s="136"/>
      <c r="K47" s="136"/>
      <c r="L47" s="222"/>
      <c r="M47" s="222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222"/>
      <c r="Y47" s="222"/>
      <c r="Z47" s="222"/>
      <c r="AA47" s="222"/>
      <c r="AB47" s="222"/>
      <c r="AC47" s="222"/>
      <c r="AD47" s="222"/>
      <c r="AE47" s="222"/>
      <c r="AF47" s="222"/>
      <c r="AG47" s="223"/>
      <c r="AH47" s="222"/>
      <c r="AI47" s="366"/>
      <c r="AJ47" s="366"/>
      <c r="AK47" s="366"/>
      <c r="AL47" s="354"/>
      <c r="AM47" s="358">
        <v>0.42</v>
      </c>
      <c r="AN47" s="357" t="s">
        <v>27</v>
      </c>
      <c r="AO47" s="359">
        <v>7.5</v>
      </c>
      <c r="AP47" s="360">
        <f t="shared" si="12"/>
        <v>1.5</v>
      </c>
      <c r="AQ47" s="360">
        <f t="shared" si="13"/>
        <v>98.5</v>
      </c>
      <c r="AR47" s="491"/>
      <c r="AS47" s="358"/>
      <c r="AT47" s="357"/>
      <c r="AU47" s="357"/>
      <c r="AV47" s="360"/>
      <c r="AW47" s="360"/>
    </row>
    <row r="48" spans="1:49" ht="14.1" customHeight="1" x14ac:dyDescent="0.25">
      <c r="A48" s="140"/>
      <c r="B48" s="222"/>
      <c r="C48" s="136"/>
      <c r="D48" s="136"/>
      <c r="E48" s="136"/>
      <c r="F48" s="136"/>
      <c r="G48" s="136"/>
      <c r="H48" s="136"/>
      <c r="I48" s="136"/>
      <c r="J48" s="136"/>
      <c r="K48" s="136"/>
      <c r="L48" s="222"/>
      <c r="M48" s="222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222"/>
      <c r="Y48" s="222"/>
      <c r="Z48" s="222"/>
      <c r="AA48" s="222"/>
      <c r="AB48" s="222"/>
      <c r="AC48" s="222"/>
      <c r="AD48" s="222"/>
      <c r="AE48" s="222"/>
      <c r="AF48" s="222"/>
      <c r="AG48" s="223"/>
      <c r="AH48" s="222"/>
      <c r="AI48" s="366"/>
      <c r="AJ48" s="366"/>
      <c r="AK48" s="366"/>
      <c r="AL48" s="354"/>
      <c r="AM48" s="358">
        <v>0.18</v>
      </c>
      <c r="AN48" s="357" t="s">
        <v>28</v>
      </c>
      <c r="AO48" s="359">
        <v>32.5</v>
      </c>
      <c r="AP48" s="360">
        <f t="shared" si="12"/>
        <v>6.5</v>
      </c>
      <c r="AQ48" s="360">
        <f t="shared" si="13"/>
        <v>93.5</v>
      </c>
      <c r="AR48" s="491"/>
      <c r="AS48" s="358"/>
      <c r="AT48" s="357"/>
      <c r="AU48" s="357"/>
      <c r="AV48" s="360"/>
      <c r="AW48" s="360"/>
    </row>
    <row r="49" spans="1:49" ht="14.1" customHeight="1" x14ac:dyDescent="0.25">
      <c r="A49" s="140"/>
      <c r="B49" s="222"/>
      <c r="C49" s="136"/>
      <c r="D49" s="136"/>
      <c r="E49" s="136"/>
      <c r="F49" s="136"/>
      <c r="G49" s="136"/>
      <c r="H49" s="136"/>
      <c r="I49" s="136"/>
      <c r="J49" s="136"/>
      <c r="K49" s="136"/>
      <c r="L49" s="222"/>
      <c r="M49" s="222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222"/>
      <c r="Y49" s="222"/>
      <c r="Z49" s="222"/>
      <c r="AA49" s="222"/>
      <c r="AB49" s="222"/>
      <c r="AC49" s="222"/>
      <c r="AD49" s="222"/>
      <c r="AE49" s="222"/>
      <c r="AF49" s="222"/>
      <c r="AG49" s="223"/>
      <c r="AH49" s="222"/>
      <c r="AI49" s="366"/>
      <c r="AJ49" s="366"/>
      <c r="AK49" s="366"/>
      <c r="AL49" s="354"/>
      <c r="AM49" s="358">
        <v>7.4999999999999997E-2</v>
      </c>
      <c r="AN49" s="357" t="s">
        <v>29</v>
      </c>
      <c r="AO49" s="359">
        <v>117.5</v>
      </c>
      <c r="AP49" s="360">
        <f t="shared" si="12"/>
        <v>23.5</v>
      </c>
      <c r="AQ49" s="360">
        <f t="shared" si="13"/>
        <v>76.5</v>
      </c>
      <c r="AR49" s="491"/>
      <c r="AS49" s="358"/>
      <c r="AT49" s="357"/>
      <c r="AU49" s="357"/>
      <c r="AV49" s="360"/>
      <c r="AW49" s="360"/>
    </row>
    <row r="50" spans="1:49" ht="14.1" customHeight="1" x14ac:dyDescent="0.25">
      <c r="A50" s="139"/>
      <c r="B50" s="219"/>
      <c r="C50" s="135"/>
      <c r="D50" s="135"/>
      <c r="E50" s="135"/>
      <c r="F50" s="135"/>
      <c r="G50" s="135"/>
      <c r="H50" s="135"/>
      <c r="I50" s="135"/>
      <c r="J50" s="135"/>
      <c r="K50" s="135"/>
      <c r="L50" s="219"/>
      <c r="M50" s="219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219"/>
      <c r="Y50" s="219"/>
      <c r="Z50" s="219"/>
      <c r="AA50" s="219"/>
      <c r="AB50" s="219"/>
      <c r="AC50" s="219"/>
      <c r="AD50" s="219"/>
      <c r="AE50" s="219"/>
      <c r="AF50" s="219"/>
      <c r="AG50" s="220"/>
      <c r="AH50" s="222"/>
      <c r="AI50" s="366"/>
      <c r="AJ50" s="366"/>
      <c r="AK50" s="366"/>
      <c r="AL50" s="354"/>
      <c r="AM50" s="487" t="s">
        <v>75</v>
      </c>
      <c r="AN50" s="487"/>
      <c r="AO50" s="364">
        <v>500</v>
      </c>
      <c r="AP50" s="365"/>
      <c r="AQ50" s="365"/>
      <c r="AR50" s="492"/>
      <c r="AS50" s="487"/>
      <c r="AT50" s="487"/>
      <c r="AU50" s="367"/>
      <c r="AV50" s="365"/>
      <c r="AW50" s="365"/>
    </row>
    <row r="51" spans="1:49" ht="14.1" customHeight="1" x14ac:dyDescent="0.25">
      <c r="A51" s="140"/>
      <c r="B51" s="222"/>
      <c r="C51" s="136"/>
      <c r="D51" s="136"/>
      <c r="E51" s="136"/>
      <c r="F51" s="136"/>
      <c r="G51" s="136"/>
      <c r="H51" s="136"/>
      <c r="I51" s="136"/>
      <c r="J51" s="136"/>
      <c r="K51" s="136"/>
      <c r="L51" s="222"/>
      <c r="M51" s="222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222"/>
      <c r="Y51" s="222"/>
      <c r="Z51" s="222"/>
      <c r="AA51" s="222"/>
      <c r="AB51" s="222"/>
      <c r="AC51" s="222"/>
      <c r="AD51" s="222"/>
      <c r="AE51" s="222"/>
      <c r="AF51" s="222"/>
      <c r="AG51" s="223"/>
      <c r="AH51" s="222"/>
      <c r="AI51" s="366"/>
      <c r="AJ51" s="366"/>
      <c r="AK51" s="366"/>
      <c r="AL51" s="354"/>
      <c r="AM51" s="368"/>
      <c r="AN51" s="369"/>
      <c r="AO51" s="369"/>
      <c r="AP51" s="369"/>
      <c r="AQ51" s="369"/>
      <c r="AR51" s="369"/>
      <c r="AS51" s="369"/>
      <c r="AT51" s="369"/>
      <c r="AU51" s="369"/>
      <c r="AV51" s="369"/>
      <c r="AW51" s="369"/>
    </row>
    <row r="52" spans="1:49" ht="14.1" customHeight="1" x14ac:dyDescent="0.25">
      <c r="A52" s="140"/>
      <c r="B52" s="222"/>
      <c r="C52" s="136"/>
      <c r="D52" s="136"/>
      <c r="E52" s="136"/>
      <c r="F52" s="136"/>
      <c r="G52" s="136"/>
      <c r="H52" s="136"/>
      <c r="I52" s="136"/>
      <c r="J52" s="136"/>
      <c r="K52" s="136"/>
      <c r="L52" s="222"/>
      <c r="M52" s="222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222"/>
      <c r="Y52" s="222"/>
      <c r="Z52" s="222"/>
      <c r="AA52" s="222"/>
      <c r="AB52" s="222"/>
      <c r="AC52" s="222"/>
      <c r="AD52" s="222"/>
      <c r="AE52" s="222"/>
      <c r="AF52" s="222"/>
      <c r="AG52" s="223"/>
      <c r="AH52" s="222"/>
      <c r="AI52" s="366"/>
      <c r="AJ52" s="366"/>
      <c r="AK52" s="366"/>
      <c r="AL52" s="354"/>
      <c r="AM52" s="368"/>
      <c r="AN52" s="369"/>
      <c r="AO52" s="369"/>
      <c r="AP52" s="369"/>
      <c r="AQ52" s="369"/>
      <c r="AR52" s="369"/>
      <c r="AS52" s="369"/>
      <c r="AT52" s="369"/>
      <c r="AU52" s="369"/>
      <c r="AV52" s="369"/>
      <c r="AW52" s="369"/>
    </row>
    <row r="53" spans="1:49" ht="14.1" customHeight="1" x14ac:dyDescent="0.25">
      <c r="A53" s="167"/>
      <c r="B53" s="222"/>
      <c r="C53" s="4"/>
      <c r="D53" s="136"/>
      <c r="E53" s="136"/>
      <c r="F53" s="136"/>
      <c r="G53" s="136"/>
      <c r="H53" s="136"/>
      <c r="I53" s="136"/>
      <c r="J53" s="136"/>
      <c r="K53" s="136"/>
      <c r="L53" s="222"/>
      <c r="M53" s="222"/>
      <c r="N53" s="4"/>
      <c r="O53" s="4"/>
      <c r="P53" s="1"/>
      <c r="Q53" s="4"/>
      <c r="R53" s="4"/>
      <c r="S53" s="4"/>
      <c r="T53" s="4"/>
      <c r="U53" s="1"/>
      <c r="V53" s="4"/>
      <c r="W53" s="4"/>
      <c r="X53" s="222"/>
      <c r="Y53" s="222"/>
      <c r="Z53" s="222"/>
      <c r="AA53" s="222"/>
      <c r="AB53" s="222"/>
      <c r="AC53" s="222"/>
      <c r="AD53" s="222"/>
      <c r="AE53" s="222"/>
      <c r="AF53" s="222"/>
      <c r="AG53" s="223"/>
      <c r="AH53" s="222"/>
      <c r="AI53" s="366"/>
      <c r="AJ53" s="366"/>
      <c r="AK53" s="366"/>
      <c r="AL53" s="354"/>
      <c r="AM53" s="368"/>
      <c r="AN53" s="369"/>
      <c r="AO53" s="369"/>
      <c r="AP53" s="369"/>
      <c r="AQ53" s="369"/>
      <c r="AR53" s="369"/>
      <c r="AS53" s="369"/>
      <c r="AT53" s="369"/>
      <c r="AU53" s="369"/>
      <c r="AV53" s="369"/>
      <c r="AW53" s="369"/>
    </row>
    <row r="54" spans="1:49" ht="14.1" customHeight="1" x14ac:dyDescent="0.25">
      <c r="A54" s="168"/>
      <c r="B54" s="222"/>
      <c r="C54" s="4"/>
      <c r="D54" s="136"/>
      <c r="E54" s="136"/>
      <c r="F54" s="136"/>
      <c r="G54" s="136"/>
      <c r="H54" s="136"/>
      <c r="I54" s="136"/>
      <c r="J54" s="136"/>
      <c r="K54" s="136"/>
      <c r="L54" s="222"/>
      <c r="M54" s="222"/>
      <c r="N54" s="4"/>
      <c r="O54" s="4"/>
      <c r="P54" s="4"/>
      <c r="Q54" s="4"/>
      <c r="R54" s="4"/>
      <c r="S54" s="4"/>
      <c r="T54" s="4"/>
      <c r="U54" s="4"/>
      <c r="V54" s="4"/>
      <c r="W54" s="4"/>
      <c r="X54" s="222"/>
      <c r="Y54" s="222"/>
      <c r="Z54" s="222"/>
      <c r="AA54" s="222"/>
      <c r="AB54" s="222"/>
      <c r="AC54" s="222"/>
      <c r="AD54" s="222"/>
      <c r="AE54" s="222"/>
      <c r="AF54" s="222"/>
      <c r="AG54" s="223"/>
      <c r="AH54" s="222"/>
      <c r="AI54" s="366"/>
      <c r="AJ54" s="366"/>
      <c r="AK54" s="366"/>
      <c r="AL54" s="354"/>
      <c r="AM54" s="368"/>
      <c r="AN54" s="369"/>
      <c r="AO54" s="369"/>
      <c r="AP54" s="369"/>
      <c r="AQ54" s="369"/>
      <c r="AR54" s="369"/>
      <c r="AS54" s="369"/>
      <c r="AT54" s="369"/>
      <c r="AU54" s="369"/>
      <c r="AV54" s="369"/>
      <c r="AW54" s="369"/>
    </row>
    <row r="55" spans="1:49" ht="14.1" customHeight="1" x14ac:dyDescent="0.25">
      <c r="A55" s="167"/>
      <c r="B55" s="222"/>
      <c r="C55" s="4"/>
      <c r="D55" s="136"/>
      <c r="E55" s="136"/>
      <c r="F55" s="136"/>
      <c r="G55" s="136"/>
      <c r="H55" s="136"/>
      <c r="I55" s="136"/>
      <c r="J55" s="136"/>
      <c r="K55" s="136"/>
      <c r="L55" s="222"/>
      <c r="M55" s="222"/>
      <c r="N55" s="1"/>
      <c r="O55" s="4"/>
      <c r="P55" s="1"/>
      <c r="Q55" s="4"/>
      <c r="R55" s="4"/>
      <c r="S55" s="4"/>
      <c r="T55" s="4"/>
      <c r="U55" s="1"/>
      <c r="V55" s="1"/>
      <c r="W55" s="136"/>
      <c r="X55" s="222"/>
      <c r="Y55" s="222"/>
      <c r="Z55" s="222"/>
      <c r="AA55" s="222"/>
      <c r="AB55" s="222"/>
      <c r="AC55" s="222"/>
      <c r="AD55" s="222"/>
      <c r="AE55" s="222"/>
      <c r="AF55" s="222"/>
      <c r="AG55" s="223"/>
      <c r="AH55" s="222"/>
      <c r="AI55" s="366"/>
      <c r="AJ55" s="366"/>
      <c r="AK55" s="366"/>
      <c r="AL55" s="354"/>
      <c r="AM55" s="368"/>
      <c r="AN55" s="369"/>
      <c r="AO55" s="369"/>
      <c r="AP55" s="369"/>
      <c r="AQ55" s="369"/>
      <c r="AR55" s="370"/>
      <c r="AS55" s="370"/>
      <c r="AT55" s="370"/>
      <c r="AU55" s="369"/>
      <c r="AV55" s="369"/>
      <c r="AW55" s="369"/>
    </row>
    <row r="56" spans="1:49" ht="14.1" customHeight="1" x14ac:dyDescent="0.25">
      <c r="A56" s="168"/>
      <c r="B56" s="222"/>
      <c r="C56" s="4"/>
      <c r="D56" s="136"/>
      <c r="E56" s="136"/>
      <c r="F56" s="136"/>
      <c r="G56" s="136"/>
      <c r="H56" s="136"/>
      <c r="I56" s="136"/>
      <c r="J56" s="136"/>
      <c r="K56" s="136"/>
      <c r="L56" s="222"/>
      <c r="M56" s="222"/>
      <c r="N56" s="4"/>
      <c r="O56" s="4"/>
      <c r="P56" s="4"/>
      <c r="Q56" s="4"/>
      <c r="R56" s="4"/>
      <c r="S56" s="4"/>
      <c r="T56" s="4"/>
      <c r="U56" s="1"/>
      <c r="V56" s="1"/>
      <c r="W56" s="136"/>
      <c r="X56" s="222"/>
      <c r="Y56" s="222"/>
      <c r="Z56" s="222"/>
      <c r="AA56" s="222"/>
      <c r="AB56" s="222"/>
      <c r="AC56" s="222"/>
      <c r="AD56" s="222"/>
      <c r="AE56" s="222"/>
      <c r="AF56" s="222"/>
      <c r="AG56" s="223"/>
      <c r="AH56" s="222"/>
      <c r="AI56" s="366"/>
      <c r="AJ56" s="366"/>
      <c r="AK56" s="366"/>
      <c r="AL56" s="354"/>
      <c r="AM56" s="368"/>
      <c r="AN56" s="369"/>
      <c r="AO56" s="369"/>
      <c r="AP56" s="369"/>
      <c r="AQ56" s="369"/>
      <c r="AR56" s="369"/>
      <c r="AS56" s="369"/>
      <c r="AT56" s="369"/>
      <c r="AU56" s="370"/>
      <c r="AV56" s="369"/>
      <c r="AW56" s="369"/>
    </row>
    <row r="57" spans="1:49" ht="14.1" customHeight="1" x14ac:dyDescent="0.25">
      <c r="A57" s="167"/>
      <c r="B57" s="222"/>
      <c r="C57" s="1"/>
      <c r="D57" s="136"/>
      <c r="E57" s="136"/>
      <c r="F57" s="136"/>
      <c r="G57" s="136"/>
      <c r="H57" s="136"/>
      <c r="I57" s="136"/>
      <c r="J57" s="136"/>
      <c r="K57" s="136"/>
      <c r="L57" s="222"/>
      <c r="M57" s="222"/>
      <c r="N57" s="1"/>
      <c r="O57" s="1"/>
      <c r="P57" s="1"/>
      <c r="Q57" s="1"/>
      <c r="R57" s="1"/>
      <c r="S57" s="1"/>
      <c r="T57" s="1"/>
      <c r="U57" s="1"/>
      <c r="V57" s="1"/>
      <c r="W57" s="136"/>
      <c r="X57" s="222"/>
      <c r="Y57" s="222"/>
      <c r="Z57" s="222"/>
      <c r="AA57" s="222"/>
      <c r="AB57" s="222"/>
      <c r="AC57" s="222"/>
      <c r="AD57" s="222"/>
      <c r="AE57" s="222"/>
      <c r="AF57" s="222"/>
      <c r="AG57" s="223"/>
      <c r="AH57" s="222"/>
      <c r="AI57" s="366"/>
      <c r="AJ57" s="366"/>
      <c r="AK57" s="366"/>
      <c r="AL57" s="354"/>
      <c r="AM57" s="368"/>
      <c r="AN57" s="369"/>
      <c r="AO57" s="369"/>
      <c r="AP57" s="369"/>
      <c r="AQ57" s="369"/>
      <c r="AR57" s="369"/>
      <c r="AS57" s="369"/>
      <c r="AT57" s="369"/>
      <c r="AU57" s="369"/>
      <c r="AV57" s="369"/>
      <c r="AW57" s="369"/>
    </row>
    <row r="58" spans="1:49" ht="14.1" customHeight="1" x14ac:dyDescent="0.25">
      <c r="A58" s="169"/>
      <c r="B58" s="225"/>
      <c r="C58" s="170"/>
      <c r="D58" s="154"/>
      <c r="E58" s="154"/>
      <c r="F58" s="154"/>
      <c r="G58" s="154"/>
      <c r="H58" s="154"/>
      <c r="I58" s="154"/>
      <c r="J58" s="154"/>
      <c r="K58" s="154"/>
      <c r="L58" s="225"/>
      <c r="M58" s="225"/>
      <c r="N58" s="170"/>
      <c r="O58" s="170"/>
      <c r="P58" s="170"/>
      <c r="Q58" s="170"/>
      <c r="R58" s="170"/>
      <c r="S58" s="170"/>
      <c r="T58" s="170"/>
      <c r="U58" s="170"/>
      <c r="V58" s="170"/>
      <c r="W58" s="154"/>
      <c r="X58" s="225"/>
      <c r="Y58" s="225"/>
      <c r="Z58" s="225"/>
      <c r="AA58" s="225"/>
      <c r="AB58" s="225"/>
      <c r="AC58" s="225"/>
      <c r="AD58" s="225"/>
      <c r="AE58" s="225"/>
      <c r="AF58" s="225"/>
      <c r="AG58" s="226"/>
      <c r="AH58" s="222"/>
      <c r="AI58" s="366"/>
      <c r="AJ58" s="366"/>
      <c r="AK58" s="366"/>
      <c r="AL58" s="354"/>
      <c r="AM58" s="368"/>
      <c r="AN58" s="369"/>
      <c r="AO58" s="369"/>
      <c r="AP58" s="369"/>
      <c r="AQ58" s="369"/>
      <c r="AR58" s="369"/>
      <c r="AS58" s="369"/>
      <c r="AT58" s="369"/>
      <c r="AU58" s="369"/>
      <c r="AV58" s="369"/>
      <c r="AW58" s="369"/>
    </row>
    <row r="59" spans="1:49" ht="14.1" customHeight="1" x14ac:dyDescent="0.25">
      <c r="A59" s="1"/>
      <c r="B59" s="222"/>
      <c r="C59" s="1"/>
      <c r="D59" s="136"/>
      <c r="E59" s="136"/>
      <c r="F59" s="136"/>
      <c r="G59" s="136"/>
      <c r="H59" s="136"/>
      <c r="I59" s="136"/>
      <c r="J59" s="136"/>
      <c r="K59" s="136"/>
      <c r="L59" s="222"/>
      <c r="M59" s="222"/>
      <c r="N59" s="1"/>
      <c r="O59" s="1"/>
      <c r="P59" s="1"/>
      <c r="Q59" s="1"/>
      <c r="R59" s="1"/>
      <c r="S59" s="1"/>
      <c r="T59" s="1"/>
      <c r="U59" s="1"/>
      <c r="V59" s="1"/>
      <c r="W59" s="136"/>
      <c r="X59" s="222"/>
      <c r="Y59" s="222"/>
      <c r="Z59" s="222"/>
      <c r="AA59" s="222"/>
      <c r="AB59" s="222"/>
      <c r="AC59" s="222"/>
      <c r="AD59" s="222"/>
      <c r="AE59" s="222"/>
      <c r="AF59" s="222"/>
      <c r="AG59" s="222"/>
      <c r="AH59" s="222"/>
      <c r="AI59" s="222"/>
      <c r="AJ59" s="222"/>
      <c r="AK59" s="222"/>
    </row>
    <row r="60" spans="1:49" ht="14.1" customHeight="1" x14ac:dyDescent="0.25">
      <c r="A60" s="136"/>
      <c r="B60" s="222"/>
      <c r="C60" s="136"/>
      <c r="D60" s="136"/>
      <c r="E60" s="136"/>
      <c r="F60" s="136"/>
      <c r="G60" s="136"/>
      <c r="H60" s="136"/>
      <c r="I60" s="136"/>
      <c r="J60" s="136"/>
      <c r="K60" s="136"/>
      <c r="L60" s="222"/>
      <c r="M60" s="222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  <c r="AH60" s="222"/>
      <c r="AI60" s="222"/>
      <c r="AJ60" s="222"/>
      <c r="AK60" s="222"/>
    </row>
    <row r="61" spans="1:49" ht="14.1" customHeight="1" x14ac:dyDescent="0.25">
      <c r="A61" s="136"/>
      <c r="B61" s="222"/>
      <c r="C61" s="136"/>
      <c r="D61" s="136"/>
      <c r="E61" s="136"/>
      <c r="F61" s="136"/>
      <c r="G61" s="136"/>
      <c r="H61" s="136"/>
      <c r="I61" s="136"/>
      <c r="J61" s="136"/>
      <c r="K61" s="136"/>
      <c r="L61" s="222"/>
      <c r="M61" s="222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222"/>
      <c r="Y61" s="222"/>
      <c r="Z61" s="222"/>
      <c r="AA61" s="222"/>
      <c r="AB61" s="222"/>
      <c r="AC61" s="222"/>
      <c r="AD61" s="222"/>
      <c r="AE61" s="222"/>
      <c r="AF61" s="222"/>
      <c r="AG61" s="222"/>
      <c r="AH61" s="222"/>
      <c r="AI61" s="222"/>
      <c r="AJ61" s="222"/>
      <c r="AK61" s="222"/>
    </row>
    <row r="62" spans="1:49" ht="14.1" customHeight="1" x14ac:dyDescent="0.25">
      <c r="A62" s="136"/>
      <c r="B62" s="222"/>
      <c r="C62" s="136"/>
      <c r="D62" s="136"/>
      <c r="E62" s="136"/>
      <c r="F62" s="136"/>
      <c r="G62" s="136"/>
      <c r="H62" s="136"/>
      <c r="I62" s="136"/>
      <c r="J62" s="136"/>
      <c r="K62" s="136"/>
      <c r="L62" s="222"/>
      <c r="M62" s="222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222"/>
      <c r="Y62" s="222"/>
      <c r="Z62" s="222"/>
      <c r="AA62" s="222"/>
      <c r="AB62" s="222"/>
      <c r="AC62" s="222"/>
      <c r="AD62" s="222"/>
      <c r="AE62" s="222"/>
      <c r="AF62" s="222"/>
      <c r="AG62" s="222"/>
      <c r="AH62" s="222"/>
      <c r="AI62" s="222"/>
      <c r="AJ62" s="222"/>
      <c r="AK62" s="222"/>
    </row>
    <row r="63" spans="1:49" ht="14.1" customHeight="1" x14ac:dyDescent="0.25">
      <c r="A63" s="136"/>
      <c r="B63" s="222"/>
      <c r="C63" s="136"/>
      <c r="D63" s="136"/>
      <c r="E63" s="136"/>
      <c r="F63" s="136"/>
      <c r="G63" s="136"/>
      <c r="H63" s="136"/>
      <c r="I63" s="136"/>
      <c r="J63" s="136"/>
      <c r="K63" s="136"/>
      <c r="L63" s="222"/>
      <c r="M63" s="222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222"/>
      <c r="Y63" s="222"/>
      <c r="Z63" s="222"/>
      <c r="AA63" s="222"/>
      <c r="AB63" s="222"/>
      <c r="AC63" s="222"/>
      <c r="AD63" s="222"/>
      <c r="AE63" s="222"/>
      <c r="AF63" s="222"/>
      <c r="AG63" s="222"/>
      <c r="AH63" s="222"/>
      <c r="AI63" s="222"/>
      <c r="AJ63" s="222"/>
      <c r="AK63" s="222"/>
    </row>
    <row r="64" spans="1:49" ht="14.1" customHeight="1" x14ac:dyDescent="0.25">
      <c r="A64" s="136"/>
      <c r="B64" s="222"/>
      <c r="C64" s="136"/>
      <c r="D64" s="136"/>
      <c r="E64" s="136"/>
      <c r="F64" s="136"/>
      <c r="G64" s="136"/>
      <c r="H64" s="136"/>
      <c r="I64" s="136"/>
      <c r="J64" s="136"/>
      <c r="K64" s="136"/>
      <c r="L64" s="222"/>
      <c r="M64" s="222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222"/>
      <c r="Y64" s="222"/>
      <c r="Z64" s="222"/>
      <c r="AA64" s="222"/>
      <c r="AB64" s="222"/>
      <c r="AC64" s="222"/>
      <c r="AD64" s="222"/>
      <c r="AE64" s="222"/>
      <c r="AF64" s="222"/>
      <c r="AG64" s="222"/>
      <c r="AH64" s="222"/>
      <c r="AI64" s="222"/>
      <c r="AJ64" s="222"/>
      <c r="AK64" s="222"/>
    </row>
    <row r="65" spans="1:37" ht="14.1" customHeight="1" x14ac:dyDescent="0.25">
      <c r="A65" s="136"/>
      <c r="B65" s="222"/>
      <c r="C65" s="136"/>
      <c r="D65" s="136"/>
      <c r="E65" s="136"/>
      <c r="F65" s="136"/>
      <c r="G65" s="136"/>
      <c r="H65" s="136"/>
      <c r="I65" s="136"/>
      <c r="J65" s="136"/>
      <c r="K65" s="136"/>
      <c r="L65" s="222"/>
      <c r="M65" s="222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222"/>
      <c r="Y65" s="222"/>
      <c r="Z65" s="222"/>
      <c r="AA65" s="222"/>
      <c r="AB65" s="222"/>
      <c r="AC65" s="222"/>
      <c r="AD65" s="222"/>
      <c r="AE65" s="222"/>
      <c r="AF65" s="222"/>
      <c r="AG65" s="222"/>
      <c r="AH65" s="222"/>
      <c r="AI65" s="222"/>
      <c r="AJ65" s="222"/>
      <c r="AK65" s="222"/>
    </row>
    <row r="66" spans="1:37" ht="14.1" customHeight="1" x14ac:dyDescent="0.25">
      <c r="A66" s="136"/>
      <c r="B66" s="222"/>
      <c r="C66" s="136"/>
      <c r="D66" s="136"/>
      <c r="E66" s="136"/>
      <c r="F66" s="136"/>
      <c r="G66" s="136"/>
      <c r="H66" s="136"/>
      <c r="I66" s="136"/>
      <c r="J66" s="136"/>
      <c r="K66" s="136"/>
      <c r="L66" s="222"/>
      <c r="M66" s="222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222"/>
      <c r="Y66" s="222"/>
      <c r="Z66" s="222"/>
      <c r="AA66" s="222"/>
      <c r="AB66" s="222"/>
      <c r="AC66" s="222"/>
      <c r="AD66" s="222"/>
      <c r="AE66" s="222"/>
      <c r="AF66" s="222"/>
      <c r="AG66" s="222"/>
      <c r="AH66" s="222"/>
      <c r="AI66" s="222"/>
      <c r="AJ66" s="222"/>
      <c r="AK66" s="222"/>
    </row>
    <row r="67" spans="1:37" ht="14.1" customHeight="1" x14ac:dyDescent="0.25">
      <c r="A67" s="136"/>
      <c r="B67" s="222"/>
      <c r="C67" s="136"/>
      <c r="D67" s="136"/>
      <c r="E67" s="136"/>
      <c r="F67" s="136"/>
      <c r="G67" s="136"/>
      <c r="H67" s="136"/>
      <c r="I67" s="136"/>
      <c r="J67" s="136"/>
      <c r="K67" s="136"/>
      <c r="L67" s="222"/>
      <c r="M67" s="222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222"/>
      <c r="Y67" s="222"/>
      <c r="Z67" s="222"/>
      <c r="AA67" s="222"/>
      <c r="AB67" s="222"/>
      <c r="AC67" s="222"/>
      <c r="AD67" s="222"/>
      <c r="AE67" s="222"/>
      <c r="AF67" s="222"/>
      <c r="AG67" s="222"/>
      <c r="AH67" s="222"/>
      <c r="AI67" s="222"/>
      <c r="AJ67" s="222"/>
      <c r="AK67" s="222"/>
    </row>
    <row r="68" spans="1:37" ht="14.1" customHeight="1" x14ac:dyDescent="0.25">
      <c r="A68" s="136"/>
      <c r="B68" s="222"/>
      <c r="C68" s="136"/>
      <c r="D68" s="136"/>
      <c r="E68" s="136"/>
      <c r="F68" s="136"/>
      <c r="G68" s="136"/>
      <c r="H68" s="136"/>
      <c r="I68" s="136"/>
      <c r="J68" s="136"/>
      <c r="K68" s="136"/>
      <c r="L68" s="222"/>
      <c r="M68" s="222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222"/>
      <c r="Y68" s="222"/>
      <c r="Z68" s="222"/>
      <c r="AA68" s="222"/>
      <c r="AB68" s="222"/>
      <c r="AC68" s="222"/>
      <c r="AD68" s="222"/>
      <c r="AE68" s="222"/>
      <c r="AF68" s="222"/>
      <c r="AG68" s="222"/>
      <c r="AH68" s="222"/>
      <c r="AI68" s="222"/>
      <c r="AJ68" s="222"/>
      <c r="AK68" s="222"/>
    </row>
    <row r="69" spans="1:37" ht="14.1" customHeight="1" x14ac:dyDescent="0.25">
      <c r="A69" s="136"/>
      <c r="B69" s="222"/>
      <c r="C69" s="136"/>
      <c r="D69" s="136"/>
      <c r="E69" s="136"/>
      <c r="F69" s="136"/>
      <c r="G69" s="136"/>
      <c r="H69" s="136"/>
      <c r="I69" s="136"/>
      <c r="J69" s="136"/>
      <c r="K69" s="136"/>
      <c r="L69" s="222"/>
      <c r="M69" s="222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222"/>
      <c r="Y69" s="222"/>
      <c r="Z69" s="222"/>
      <c r="AA69" s="222"/>
      <c r="AB69" s="222"/>
      <c r="AC69" s="222"/>
      <c r="AD69" s="222"/>
      <c r="AE69" s="222"/>
      <c r="AF69" s="222"/>
      <c r="AG69" s="222"/>
      <c r="AH69" s="222"/>
      <c r="AI69" s="222"/>
      <c r="AJ69" s="222"/>
      <c r="AK69" s="222"/>
    </row>
    <row r="70" spans="1:37" ht="14.1" customHeight="1" x14ac:dyDescent="0.25">
      <c r="A70" s="136"/>
      <c r="B70" s="222"/>
      <c r="C70" s="136"/>
      <c r="D70" s="136"/>
      <c r="E70" s="136"/>
      <c r="F70" s="136"/>
      <c r="G70" s="136"/>
      <c r="H70" s="136"/>
      <c r="I70" s="136"/>
      <c r="J70" s="136"/>
      <c r="K70" s="136"/>
      <c r="L70" s="222"/>
      <c r="M70" s="222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  <c r="AK70" s="222"/>
    </row>
    <row r="71" spans="1:37" ht="14.1" customHeight="1" x14ac:dyDescent="0.25">
      <c r="A71" s="136"/>
      <c r="B71" s="222"/>
      <c r="C71" s="136"/>
      <c r="D71" s="136"/>
      <c r="E71" s="136"/>
      <c r="F71" s="136"/>
      <c r="G71" s="136"/>
      <c r="H71" s="136"/>
      <c r="I71" s="136"/>
      <c r="J71" s="136"/>
      <c r="K71" s="136"/>
      <c r="L71" s="222"/>
      <c r="M71" s="222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222"/>
      <c r="Y71" s="222"/>
      <c r="Z71" s="222"/>
      <c r="AA71" s="222"/>
      <c r="AB71" s="222"/>
      <c r="AC71" s="222"/>
      <c r="AD71" s="222"/>
      <c r="AE71" s="222"/>
      <c r="AF71" s="222"/>
      <c r="AG71" s="222"/>
      <c r="AH71" s="222"/>
      <c r="AI71" s="222"/>
      <c r="AJ71" s="222"/>
      <c r="AK71" s="222"/>
    </row>
    <row r="72" spans="1:37" ht="14.1" customHeight="1" x14ac:dyDescent="0.25">
      <c r="A72" s="136"/>
      <c r="B72" s="222"/>
      <c r="C72" s="136"/>
      <c r="D72" s="136"/>
      <c r="E72" s="136"/>
      <c r="F72" s="136"/>
      <c r="G72" s="136"/>
      <c r="H72" s="136"/>
      <c r="I72" s="136"/>
      <c r="J72" s="136"/>
      <c r="K72" s="136"/>
      <c r="L72" s="222"/>
      <c r="M72" s="222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222"/>
      <c r="Y72" s="222"/>
      <c r="Z72" s="222"/>
      <c r="AA72" s="222"/>
      <c r="AB72" s="222"/>
      <c r="AC72" s="222"/>
      <c r="AD72" s="222"/>
      <c r="AE72" s="222"/>
      <c r="AF72" s="222"/>
      <c r="AG72" s="222"/>
      <c r="AH72" s="222"/>
      <c r="AI72" s="222"/>
      <c r="AJ72" s="222"/>
      <c r="AK72" s="222"/>
    </row>
    <row r="73" spans="1:37" ht="14.1" customHeight="1" x14ac:dyDescent="0.25">
      <c r="A73" s="136"/>
      <c r="B73" s="222"/>
      <c r="C73" s="136"/>
      <c r="D73" s="136"/>
      <c r="E73" s="136"/>
      <c r="F73" s="136"/>
      <c r="G73" s="136"/>
      <c r="H73" s="136"/>
      <c r="I73" s="136"/>
      <c r="J73" s="136"/>
      <c r="K73" s="136"/>
      <c r="L73" s="222"/>
      <c r="M73" s="222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222"/>
      <c r="Y73" s="222"/>
      <c r="Z73" s="222"/>
      <c r="AA73" s="222"/>
      <c r="AB73" s="222"/>
      <c r="AC73" s="222"/>
      <c r="AD73" s="222"/>
      <c r="AE73" s="222"/>
      <c r="AF73" s="222"/>
      <c r="AG73" s="222"/>
      <c r="AH73" s="222"/>
      <c r="AI73" s="222"/>
      <c r="AJ73" s="222"/>
      <c r="AK73" s="222"/>
    </row>
    <row r="74" spans="1:37" ht="14.1" customHeight="1" x14ac:dyDescent="0.25">
      <c r="A74" s="136"/>
      <c r="B74" s="222"/>
      <c r="C74" s="136"/>
      <c r="D74" s="136"/>
      <c r="E74" s="136"/>
      <c r="F74" s="136"/>
      <c r="G74" s="136"/>
      <c r="H74" s="136"/>
      <c r="I74" s="136"/>
      <c r="J74" s="136"/>
      <c r="K74" s="136"/>
      <c r="L74" s="222"/>
      <c r="M74" s="222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222"/>
      <c r="Y74" s="222"/>
      <c r="Z74" s="222"/>
      <c r="AA74" s="222"/>
      <c r="AB74" s="222"/>
      <c r="AC74" s="222"/>
      <c r="AD74" s="222"/>
      <c r="AE74" s="222"/>
      <c r="AF74" s="222"/>
      <c r="AG74" s="222"/>
      <c r="AH74" s="222"/>
      <c r="AI74" s="222"/>
      <c r="AJ74" s="222"/>
      <c r="AK74" s="222"/>
    </row>
    <row r="75" spans="1:37" ht="14.1" customHeight="1" x14ac:dyDescent="0.25">
      <c r="A75" s="136"/>
      <c r="B75" s="222"/>
      <c r="C75" s="136"/>
      <c r="D75" s="136"/>
      <c r="E75" s="136"/>
      <c r="F75" s="136"/>
      <c r="G75" s="136"/>
      <c r="H75" s="136"/>
      <c r="I75" s="136"/>
      <c r="J75" s="136"/>
      <c r="K75" s="136"/>
      <c r="L75" s="222"/>
      <c r="M75" s="222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222"/>
      <c r="Y75" s="222"/>
      <c r="Z75" s="222"/>
      <c r="AA75" s="222"/>
      <c r="AB75" s="222"/>
      <c r="AC75" s="222"/>
      <c r="AD75" s="222"/>
      <c r="AE75" s="222"/>
      <c r="AF75" s="222"/>
      <c r="AG75" s="222"/>
      <c r="AH75" s="222"/>
      <c r="AI75" s="222"/>
      <c r="AJ75" s="222"/>
      <c r="AK75" s="222"/>
    </row>
    <row r="76" spans="1:37" ht="14.1" customHeight="1" x14ac:dyDescent="0.25">
      <c r="A76" s="136"/>
      <c r="B76" s="222"/>
      <c r="C76" s="136"/>
      <c r="D76" s="136"/>
      <c r="E76" s="136"/>
      <c r="F76" s="136"/>
      <c r="G76" s="136"/>
      <c r="H76" s="136"/>
      <c r="I76" s="136"/>
      <c r="J76" s="136"/>
      <c r="K76" s="136"/>
      <c r="L76" s="222"/>
      <c r="M76" s="222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222"/>
      <c r="Y76" s="222"/>
      <c r="Z76" s="222"/>
      <c r="AA76" s="222"/>
      <c r="AB76" s="222"/>
      <c r="AC76" s="222"/>
      <c r="AD76" s="222"/>
      <c r="AE76" s="222"/>
      <c r="AF76" s="222"/>
      <c r="AG76" s="222"/>
      <c r="AH76" s="222"/>
      <c r="AI76" s="222"/>
      <c r="AJ76" s="222"/>
      <c r="AK76" s="222"/>
    </row>
    <row r="77" spans="1:37" ht="14.1" customHeight="1" x14ac:dyDescent="0.25">
      <c r="A77" s="136"/>
      <c r="B77" s="222"/>
      <c r="C77" s="136"/>
      <c r="D77" s="136"/>
      <c r="E77" s="136"/>
      <c r="F77" s="136"/>
      <c r="G77" s="136"/>
      <c r="H77" s="136"/>
      <c r="I77" s="136"/>
      <c r="J77" s="136"/>
      <c r="K77" s="136"/>
      <c r="L77" s="222"/>
      <c r="M77" s="222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222"/>
      <c r="Y77" s="222"/>
      <c r="Z77" s="222"/>
      <c r="AA77" s="222"/>
      <c r="AB77" s="222"/>
      <c r="AC77" s="222"/>
      <c r="AD77" s="222"/>
      <c r="AE77" s="222"/>
      <c r="AF77" s="222"/>
      <c r="AG77" s="222"/>
      <c r="AH77" s="222"/>
      <c r="AI77" s="222"/>
      <c r="AJ77" s="222"/>
      <c r="AK77" s="222"/>
    </row>
    <row r="78" spans="1:37" ht="14.1" customHeight="1" x14ac:dyDescent="0.25">
      <c r="A78" s="136"/>
      <c r="B78" s="222"/>
      <c r="C78" s="136"/>
      <c r="D78" s="136"/>
      <c r="E78" s="136"/>
      <c r="F78" s="136"/>
      <c r="G78" s="136"/>
      <c r="H78" s="136"/>
      <c r="I78" s="136"/>
      <c r="J78" s="136"/>
      <c r="K78" s="136"/>
      <c r="L78" s="222"/>
      <c r="M78" s="222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222"/>
      <c r="Y78" s="222"/>
      <c r="Z78" s="222"/>
      <c r="AA78" s="222"/>
      <c r="AB78" s="222"/>
      <c r="AC78" s="222"/>
      <c r="AD78" s="222"/>
      <c r="AE78" s="222"/>
      <c r="AF78" s="222"/>
      <c r="AG78" s="222"/>
      <c r="AH78" s="222"/>
      <c r="AI78" s="222"/>
      <c r="AJ78" s="222"/>
      <c r="AK78" s="222"/>
    </row>
  </sheetData>
  <sheetProtection password="CC3D" sheet="1" objects="1" scenarios="1"/>
  <mergeCells count="191">
    <mergeCell ref="AI15:AK15"/>
    <mergeCell ref="AI16:AK16"/>
    <mergeCell ref="AI17:AK17"/>
    <mergeCell ref="Z17:AC17"/>
    <mergeCell ref="AD17:AG17"/>
    <mergeCell ref="AI21:AK21"/>
    <mergeCell ref="AI22:AK22"/>
    <mergeCell ref="AI23:AK23"/>
    <mergeCell ref="V15:Y15"/>
    <mergeCell ref="V16:Y16"/>
    <mergeCell ref="V17:Y17"/>
    <mergeCell ref="V18:Y18"/>
    <mergeCell ref="V19:Y19"/>
    <mergeCell ref="V20:Y20"/>
    <mergeCell ref="V21:Y21"/>
    <mergeCell ref="V22:Y22"/>
    <mergeCell ref="V23:Y23"/>
    <mergeCell ref="AD15:AG15"/>
    <mergeCell ref="A7:F8"/>
    <mergeCell ref="G7:T8"/>
    <mergeCell ref="A9:F9"/>
    <mergeCell ref="G9:T9"/>
    <mergeCell ref="U9:Y9"/>
    <mergeCell ref="A10:F10"/>
    <mergeCell ref="K1:W6"/>
    <mergeCell ref="X1:AG6"/>
    <mergeCell ref="A17:C17"/>
    <mergeCell ref="D17:F17"/>
    <mergeCell ref="G17:I17"/>
    <mergeCell ref="J17:L17"/>
    <mergeCell ref="M17:O17"/>
    <mergeCell ref="P17:R17"/>
    <mergeCell ref="S17:U17"/>
    <mergeCell ref="G10:T10"/>
    <mergeCell ref="U10:Y10"/>
    <mergeCell ref="A14:C14"/>
    <mergeCell ref="D14:F14"/>
    <mergeCell ref="A1:J6"/>
    <mergeCell ref="U7:Y7"/>
    <mergeCell ref="U8:Y8"/>
    <mergeCell ref="A12:F13"/>
    <mergeCell ref="G12:I12"/>
    <mergeCell ref="AM1:AW6"/>
    <mergeCell ref="Z8:AG8"/>
    <mergeCell ref="AM7:AQ7"/>
    <mergeCell ref="AR7:AR20"/>
    <mergeCell ref="AS7:AW7"/>
    <mergeCell ref="AM8:AN8"/>
    <mergeCell ref="AO8:AO9"/>
    <mergeCell ref="AP8:AP9"/>
    <mergeCell ref="AQ8:AQ9"/>
    <mergeCell ref="AS8:AT8"/>
    <mergeCell ref="AU8:AU9"/>
    <mergeCell ref="AV8:AV9"/>
    <mergeCell ref="AW8:AW9"/>
    <mergeCell ref="Z7:AG7"/>
    <mergeCell ref="A11:AG11"/>
    <mergeCell ref="Z9:AG9"/>
    <mergeCell ref="Z10:AG10"/>
    <mergeCell ref="G13:I13"/>
    <mergeCell ref="J13:L13"/>
    <mergeCell ref="M13:O13"/>
    <mergeCell ref="P13:R13"/>
    <mergeCell ref="S13:U13"/>
    <mergeCell ref="Z12:AC14"/>
    <mergeCell ref="AD12:AG14"/>
    <mergeCell ref="J12:L12"/>
    <mergeCell ref="M12:O12"/>
    <mergeCell ref="P12:R12"/>
    <mergeCell ref="S12:U12"/>
    <mergeCell ref="V12:Y14"/>
    <mergeCell ref="S15:U15"/>
    <mergeCell ref="Z15:AC15"/>
    <mergeCell ref="A15:C15"/>
    <mergeCell ref="D15:F15"/>
    <mergeCell ref="G15:I15"/>
    <mergeCell ref="J15:L15"/>
    <mergeCell ref="M15:O15"/>
    <mergeCell ref="G14:I14"/>
    <mergeCell ref="J14:L14"/>
    <mergeCell ref="M14:O14"/>
    <mergeCell ref="P14:R14"/>
    <mergeCell ref="S14:U14"/>
    <mergeCell ref="P15:R15"/>
    <mergeCell ref="A16:C16"/>
    <mergeCell ref="D16:F16"/>
    <mergeCell ref="G16:I16"/>
    <mergeCell ref="J16:L16"/>
    <mergeCell ref="M16:O16"/>
    <mergeCell ref="P16:R16"/>
    <mergeCell ref="S16:U16"/>
    <mergeCell ref="Z16:AC16"/>
    <mergeCell ref="AD16:AG16"/>
    <mergeCell ref="J20:L20"/>
    <mergeCell ref="M20:O20"/>
    <mergeCell ref="AD18:AG18"/>
    <mergeCell ref="AI20:AK20"/>
    <mergeCell ref="A18:C18"/>
    <mergeCell ref="D18:F18"/>
    <mergeCell ref="G18:I18"/>
    <mergeCell ref="J18:L18"/>
    <mergeCell ref="M18:O18"/>
    <mergeCell ref="P18:R18"/>
    <mergeCell ref="S18:U18"/>
    <mergeCell ref="Z18:AC18"/>
    <mergeCell ref="AI18:AK18"/>
    <mergeCell ref="AI19:AK19"/>
    <mergeCell ref="A19:C19"/>
    <mergeCell ref="D19:F19"/>
    <mergeCell ref="G19:I19"/>
    <mergeCell ref="J19:L19"/>
    <mergeCell ref="M19:O19"/>
    <mergeCell ref="P19:R19"/>
    <mergeCell ref="S19:U19"/>
    <mergeCell ref="Z19:AC19"/>
    <mergeCell ref="AD19:AG19"/>
    <mergeCell ref="A22:C22"/>
    <mergeCell ref="D22:F22"/>
    <mergeCell ref="G22:I22"/>
    <mergeCell ref="J22:L22"/>
    <mergeCell ref="M22:O22"/>
    <mergeCell ref="AM20:AN20"/>
    <mergeCell ref="AS20:AT20"/>
    <mergeCell ref="A21:C21"/>
    <mergeCell ref="D21:F21"/>
    <mergeCell ref="G21:I21"/>
    <mergeCell ref="J21:L21"/>
    <mergeCell ref="M21:O21"/>
    <mergeCell ref="P21:R21"/>
    <mergeCell ref="S21:U21"/>
    <mergeCell ref="Z21:AC21"/>
    <mergeCell ref="AD21:AG21"/>
    <mergeCell ref="AM21:AW21"/>
    <mergeCell ref="P20:R20"/>
    <mergeCell ref="S20:U20"/>
    <mergeCell ref="Z20:AC20"/>
    <mergeCell ref="AD20:AG20"/>
    <mergeCell ref="A20:C20"/>
    <mergeCell ref="D20:F20"/>
    <mergeCell ref="G20:I20"/>
    <mergeCell ref="AU23:AU24"/>
    <mergeCell ref="AV23:AV24"/>
    <mergeCell ref="AW23:AW24"/>
    <mergeCell ref="AM22:AQ22"/>
    <mergeCell ref="AR22:AR35"/>
    <mergeCell ref="AS22:AW22"/>
    <mergeCell ref="A23:C23"/>
    <mergeCell ref="D23:F23"/>
    <mergeCell ref="G23:I23"/>
    <mergeCell ref="J23:L23"/>
    <mergeCell ref="M23:O23"/>
    <mergeCell ref="P23:R23"/>
    <mergeCell ref="S23:U23"/>
    <mergeCell ref="Z23:AC23"/>
    <mergeCell ref="AD23:AG23"/>
    <mergeCell ref="AM23:AN23"/>
    <mergeCell ref="AO23:AO24"/>
    <mergeCell ref="AP23:AP24"/>
    <mergeCell ref="P22:R22"/>
    <mergeCell ref="S22:U22"/>
    <mergeCell ref="Z22:AC22"/>
    <mergeCell ref="AD22:AG22"/>
    <mergeCell ref="P24:R24"/>
    <mergeCell ref="S24:U24"/>
    <mergeCell ref="AQ23:AQ24"/>
    <mergeCell ref="AS23:AT23"/>
    <mergeCell ref="Z24:AC24"/>
    <mergeCell ref="AD24:AG24"/>
    <mergeCell ref="A24:C24"/>
    <mergeCell ref="D24:F24"/>
    <mergeCell ref="G24:I24"/>
    <mergeCell ref="J24:L24"/>
    <mergeCell ref="M24:O24"/>
    <mergeCell ref="V24:Y24"/>
    <mergeCell ref="AI24:AK24"/>
    <mergeCell ref="AM50:AN50"/>
    <mergeCell ref="AS50:AT50"/>
    <mergeCell ref="AM35:AN35"/>
    <mergeCell ref="AS35:AT35"/>
    <mergeCell ref="AM36:AW36"/>
    <mergeCell ref="AM37:AQ37"/>
    <mergeCell ref="AR37:AR50"/>
    <mergeCell ref="AS37:AW37"/>
    <mergeCell ref="AM38:AN38"/>
    <mergeCell ref="AO38:AO39"/>
    <mergeCell ref="AP38:AP39"/>
    <mergeCell ref="AQ38:AQ39"/>
    <mergeCell ref="AS38:AT38"/>
    <mergeCell ref="AU38:AU39"/>
    <mergeCell ref="AV38:AV39"/>
    <mergeCell ref="AW38:AW39"/>
  </mergeCells>
  <conditionalFormatting sqref="G12:U244">
    <cfRule type="cellIs" dxfId="15" priority="3" operator="equal">
      <formula>0</formula>
    </cfRule>
  </conditionalFormatting>
  <conditionalFormatting sqref="V15:Y24">
    <cfRule type="cellIs" dxfId="14" priority="1" operator="equal">
      <formula>0</formula>
    </cfRule>
    <cfRule type="containsText" dxfId="13" priority="2" operator="containsText" text="X">
      <formula>NOT(ISERROR(SEARCH("X",V15)))</formula>
    </cfRule>
  </conditionalFormatting>
  <printOptions verticalCentered="1"/>
  <pageMargins left="0.70866141732283472" right="0.35433070866141736" top="0.35433070866141736" bottom="0.35433070866141736" header="0" footer="0"/>
  <pageSetup paperSize="9" fitToWidth="2" orientation="portrait" horizontalDpi="300" verticalDpi="3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58"/>
  <sheetViews>
    <sheetView showGridLines="0" topLeftCell="A4" zoomScale="85" zoomScaleNormal="85" zoomScaleSheetLayoutView="100" workbookViewId="0">
      <selection activeCell="BA17" sqref="BA17"/>
    </sheetView>
  </sheetViews>
  <sheetFormatPr defaultColWidth="2.7109375" defaultRowHeight="14.1" customHeight="1" x14ac:dyDescent="0.2"/>
  <cols>
    <col min="1" max="16384" width="2.7109375" style="34"/>
  </cols>
  <sheetData>
    <row r="1" spans="1:38" ht="14.1" customHeight="1" x14ac:dyDescent="0.2">
      <c r="A1" s="565"/>
      <c r="B1" s="558"/>
      <c r="C1" s="558"/>
      <c r="D1" s="558"/>
      <c r="E1" s="558"/>
      <c r="F1" s="558"/>
      <c r="G1" s="558"/>
      <c r="H1" s="558"/>
      <c r="I1" s="558"/>
      <c r="J1" s="558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555"/>
      <c r="V1" s="555"/>
      <c r="W1" s="555"/>
      <c r="X1" s="558"/>
      <c r="Y1" s="558"/>
      <c r="Z1" s="558"/>
      <c r="AA1" s="558"/>
      <c r="AB1" s="558"/>
      <c r="AC1" s="558"/>
      <c r="AD1" s="558"/>
      <c r="AE1" s="558"/>
      <c r="AF1" s="558"/>
      <c r="AG1" s="559"/>
      <c r="AI1" s="371"/>
      <c r="AJ1" s="371"/>
      <c r="AK1" s="371"/>
      <c r="AL1" s="371"/>
    </row>
    <row r="2" spans="1:38" ht="14.1" customHeight="1" x14ac:dyDescent="0.2">
      <c r="A2" s="566"/>
      <c r="B2" s="560"/>
      <c r="C2" s="560"/>
      <c r="D2" s="560"/>
      <c r="E2" s="560"/>
      <c r="F2" s="560"/>
      <c r="G2" s="560"/>
      <c r="H2" s="560"/>
      <c r="I2" s="560"/>
      <c r="J2" s="560"/>
      <c r="K2" s="556"/>
      <c r="L2" s="556"/>
      <c r="M2" s="556"/>
      <c r="N2" s="556"/>
      <c r="O2" s="556"/>
      <c r="P2" s="556"/>
      <c r="Q2" s="556"/>
      <c r="R2" s="556"/>
      <c r="S2" s="556"/>
      <c r="T2" s="556"/>
      <c r="U2" s="556"/>
      <c r="V2" s="556"/>
      <c r="W2" s="556"/>
      <c r="X2" s="560"/>
      <c r="Y2" s="560"/>
      <c r="Z2" s="560"/>
      <c r="AA2" s="560"/>
      <c r="AB2" s="560"/>
      <c r="AC2" s="560"/>
      <c r="AD2" s="560"/>
      <c r="AE2" s="560"/>
      <c r="AF2" s="560"/>
      <c r="AG2" s="561"/>
      <c r="AI2" s="371"/>
      <c r="AJ2" s="371"/>
      <c r="AK2" s="371"/>
      <c r="AL2" s="371"/>
    </row>
    <row r="3" spans="1:38" ht="14.1" customHeight="1" x14ac:dyDescent="0.2">
      <c r="A3" s="566"/>
      <c r="B3" s="560"/>
      <c r="C3" s="560"/>
      <c r="D3" s="560"/>
      <c r="E3" s="560"/>
      <c r="F3" s="560"/>
      <c r="G3" s="560"/>
      <c r="H3" s="560"/>
      <c r="I3" s="560"/>
      <c r="J3" s="560"/>
      <c r="K3" s="556"/>
      <c r="L3" s="556"/>
      <c r="M3" s="556"/>
      <c r="N3" s="556"/>
      <c r="O3" s="556"/>
      <c r="P3" s="556"/>
      <c r="Q3" s="556"/>
      <c r="R3" s="556"/>
      <c r="S3" s="556"/>
      <c r="T3" s="556"/>
      <c r="U3" s="556"/>
      <c r="V3" s="556"/>
      <c r="W3" s="556"/>
      <c r="X3" s="560"/>
      <c r="Y3" s="560"/>
      <c r="Z3" s="560"/>
      <c r="AA3" s="560"/>
      <c r="AB3" s="560"/>
      <c r="AC3" s="560"/>
      <c r="AD3" s="560"/>
      <c r="AE3" s="560"/>
      <c r="AF3" s="560"/>
      <c r="AG3" s="561"/>
      <c r="AI3" s="371"/>
      <c r="AJ3" s="371"/>
      <c r="AK3" s="371"/>
      <c r="AL3" s="371"/>
    </row>
    <row r="4" spans="1:38" ht="14.1" customHeight="1" x14ac:dyDescent="0.2">
      <c r="A4" s="566"/>
      <c r="B4" s="560"/>
      <c r="C4" s="560"/>
      <c r="D4" s="560"/>
      <c r="E4" s="560"/>
      <c r="F4" s="560"/>
      <c r="G4" s="560"/>
      <c r="H4" s="560"/>
      <c r="I4" s="560"/>
      <c r="J4" s="560"/>
      <c r="K4" s="556"/>
      <c r="L4" s="556"/>
      <c r="M4" s="556"/>
      <c r="N4" s="556"/>
      <c r="O4" s="556"/>
      <c r="P4" s="556"/>
      <c r="Q4" s="556"/>
      <c r="R4" s="556"/>
      <c r="S4" s="556"/>
      <c r="T4" s="556"/>
      <c r="U4" s="556"/>
      <c r="V4" s="556"/>
      <c r="W4" s="556"/>
      <c r="X4" s="560"/>
      <c r="Y4" s="560"/>
      <c r="Z4" s="560"/>
      <c r="AA4" s="560"/>
      <c r="AB4" s="560"/>
      <c r="AC4" s="560"/>
      <c r="AD4" s="560"/>
      <c r="AE4" s="560"/>
      <c r="AF4" s="560"/>
      <c r="AG4" s="561"/>
      <c r="AI4" s="371"/>
      <c r="AJ4" s="371"/>
      <c r="AK4" s="371"/>
      <c r="AL4" s="371"/>
    </row>
    <row r="5" spans="1:38" ht="14.1" customHeight="1" x14ac:dyDescent="0.2">
      <c r="A5" s="566"/>
      <c r="B5" s="560"/>
      <c r="C5" s="560"/>
      <c r="D5" s="560"/>
      <c r="E5" s="560"/>
      <c r="F5" s="560"/>
      <c r="G5" s="560"/>
      <c r="H5" s="560"/>
      <c r="I5" s="560"/>
      <c r="J5" s="560"/>
      <c r="K5" s="556"/>
      <c r="L5" s="556"/>
      <c r="M5" s="556"/>
      <c r="N5" s="556"/>
      <c r="O5" s="556"/>
      <c r="P5" s="556"/>
      <c r="Q5" s="556"/>
      <c r="R5" s="556"/>
      <c r="S5" s="556"/>
      <c r="T5" s="556"/>
      <c r="U5" s="556"/>
      <c r="V5" s="556"/>
      <c r="W5" s="556"/>
      <c r="X5" s="560"/>
      <c r="Y5" s="560"/>
      <c r="Z5" s="560"/>
      <c r="AA5" s="560"/>
      <c r="AB5" s="560"/>
      <c r="AC5" s="560"/>
      <c r="AD5" s="560"/>
      <c r="AE5" s="560"/>
      <c r="AF5" s="560"/>
      <c r="AG5" s="561"/>
      <c r="AI5" s="371"/>
      <c r="AJ5" s="371"/>
      <c r="AK5" s="371"/>
      <c r="AL5" s="371"/>
    </row>
    <row r="6" spans="1:38" ht="14.1" customHeight="1" x14ac:dyDescent="0.2">
      <c r="A6" s="567"/>
      <c r="B6" s="562"/>
      <c r="C6" s="562"/>
      <c r="D6" s="562"/>
      <c r="E6" s="562"/>
      <c r="F6" s="562"/>
      <c r="G6" s="562"/>
      <c r="H6" s="562"/>
      <c r="I6" s="562"/>
      <c r="J6" s="562"/>
      <c r="K6" s="557"/>
      <c r="L6" s="557"/>
      <c r="M6" s="557"/>
      <c r="N6" s="557"/>
      <c r="O6" s="557"/>
      <c r="P6" s="557"/>
      <c r="Q6" s="557"/>
      <c r="R6" s="557"/>
      <c r="S6" s="557"/>
      <c r="T6" s="557"/>
      <c r="U6" s="557"/>
      <c r="V6" s="557"/>
      <c r="W6" s="557"/>
      <c r="X6" s="562"/>
      <c r="Y6" s="562"/>
      <c r="Z6" s="562"/>
      <c r="AA6" s="562"/>
      <c r="AB6" s="562"/>
      <c r="AC6" s="562"/>
      <c r="AD6" s="562"/>
      <c r="AE6" s="562"/>
      <c r="AF6" s="562"/>
      <c r="AG6" s="563"/>
      <c r="AI6" s="371"/>
      <c r="AJ6" s="371"/>
      <c r="AK6" s="371"/>
      <c r="AL6" s="371"/>
    </row>
    <row r="7" spans="1:38" ht="14.1" customHeight="1" x14ac:dyDescent="0.2">
      <c r="A7" s="541" t="s">
        <v>267</v>
      </c>
      <c r="B7" s="542"/>
      <c r="C7" s="542"/>
      <c r="D7" s="542"/>
      <c r="E7" s="542"/>
      <c r="F7" s="542"/>
      <c r="G7" s="545" t="str">
        <f>PROPER(Dizayn!$C$4)</f>
        <v>Keşan Ayrımı - Korudağı - Gelibolu Bölünmüş Yolu İşi</v>
      </c>
      <c r="H7" s="546"/>
      <c r="I7" s="546"/>
      <c r="J7" s="546"/>
      <c r="K7" s="546"/>
      <c r="L7" s="546"/>
      <c r="M7" s="546"/>
      <c r="N7" s="546"/>
      <c r="O7" s="546"/>
      <c r="P7" s="546"/>
      <c r="Q7" s="546"/>
      <c r="R7" s="546"/>
      <c r="S7" s="546"/>
      <c r="T7" s="547"/>
      <c r="U7" s="542" t="s">
        <v>97</v>
      </c>
      <c r="V7" s="542"/>
      <c r="W7" s="542"/>
      <c r="X7" s="542"/>
      <c r="Y7" s="542"/>
      <c r="Z7" s="532">
        <f>'5 BSK'!$S$8</f>
        <v>41750</v>
      </c>
      <c r="AA7" s="533"/>
      <c r="AB7" s="533"/>
      <c r="AC7" s="533"/>
      <c r="AD7" s="533"/>
      <c r="AE7" s="533"/>
      <c r="AF7" s="533"/>
      <c r="AG7" s="532"/>
      <c r="AI7" s="371"/>
      <c r="AJ7" s="371"/>
      <c r="AK7" s="371"/>
      <c r="AL7" s="371"/>
    </row>
    <row r="8" spans="1:38" ht="14.1" customHeight="1" x14ac:dyDescent="0.2">
      <c r="A8" s="543"/>
      <c r="B8" s="544"/>
      <c r="C8" s="544"/>
      <c r="D8" s="544"/>
      <c r="E8" s="544"/>
      <c r="F8" s="544"/>
      <c r="G8" s="548"/>
      <c r="H8" s="549"/>
      <c r="I8" s="549"/>
      <c r="J8" s="549"/>
      <c r="K8" s="549"/>
      <c r="L8" s="549"/>
      <c r="M8" s="549"/>
      <c r="N8" s="549"/>
      <c r="O8" s="549"/>
      <c r="P8" s="549"/>
      <c r="Q8" s="549"/>
      <c r="R8" s="549"/>
      <c r="S8" s="549"/>
      <c r="T8" s="550"/>
      <c r="U8" s="544" t="s">
        <v>272</v>
      </c>
      <c r="V8" s="544"/>
      <c r="W8" s="544"/>
      <c r="X8" s="544"/>
      <c r="Y8" s="544"/>
      <c r="Z8" s="529" t="str">
        <f>'5 BSK'!$S$7&amp;" - "&amp;TEXT('5 BSK'!S9,"GG.AA.YYYY")</f>
        <v>5 - 22.04.2014</v>
      </c>
      <c r="AA8" s="530"/>
      <c r="AB8" s="530"/>
      <c r="AC8" s="530"/>
      <c r="AD8" s="530"/>
      <c r="AE8" s="530"/>
      <c r="AF8" s="530"/>
      <c r="AG8" s="529"/>
      <c r="AI8" s="371"/>
      <c r="AJ8" s="371"/>
      <c r="AK8" s="371"/>
      <c r="AL8" s="371"/>
    </row>
    <row r="9" spans="1:38" ht="14.1" customHeight="1" x14ac:dyDescent="0.2">
      <c r="A9" s="551" t="s">
        <v>274</v>
      </c>
      <c r="B9" s="552"/>
      <c r="C9" s="552"/>
      <c r="D9" s="552"/>
      <c r="E9" s="552"/>
      <c r="F9" s="552"/>
      <c r="G9" s="530" t="str">
        <f>PROPER('5 BSK'!$S$10&amp;" "&amp;'5 BSK'!$S$11)</f>
        <v>3+300 - 4+000 Sol Taşıma</v>
      </c>
      <c r="H9" s="530"/>
      <c r="I9" s="530"/>
      <c r="J9" s="530"/>
      <c r="K9" s="530"/>
      <c r="L9" s="530"/>
      <c r="M9" s="530"/>
      <c r="N9" s="530"/>
      <c r="O9" s="530"/>
      <c r="P9" s="530"/>
      <c r="Q9" s="530"/>
      <c r="R9" s="530"/>
      <c r="S9" s="530"/>
      <c r="T9" s="530"/>
      <c r="U9" s="544" t="s">
        <v>64</v>
      </c>
      <c r="V9" s="544"/>
      <c r="W9" s="544"/>
      <c r="X9" s="544"/>
      <c r="Y9" s="544"/>
      <c r="Z9" s="529" t="str">
        <f>PROPER(Dizayn!$C$3)</f>
        <v>Keşan Şantiyesi</v>
      </c>
      <c r="AA9" s="530"/>
      <c r="AB9" s="530"/>
      <c r="AC9" s="530"/>
      <c r="AD9" s="530"/>
      <c r="AE9" s="530"/>
      <c r="AF9" s="530"/>
      <c r="AG9" s="529"/>
      <c r="AI9" s="371"/>
      <c r="AJ9" s="371"/>
      <c r="AK9" s="371"/>
      <c r="AL9" s="371"/>
    </row>
    <row r="10" spans="1:38" ht="14.1" customHeight="1" x14ac:dyDescent="0.2">
      <c r="A10" s="553" t="s">
        <v>273</v>
      </c>
      <c r="B10" s="554"/>
      <c r="C10" s="554"/>
      <c r="D10" s="554"/>
      <c r="E10" s="554"/>
      <c r="F10" s="554"/>
      <c r="G10" s="564" t="str">
        <f>PROPER(Dizayn!$C$6)</f>
        <v>Binder</v>
      </c>
      <c r="H10" s="564"/>
      <c r="I10" s="564"/>
      <c r="J10" s="564"/>
      <c r="K10" s="564"/>
      <c r="L10" s="564"/>
      <c r="M10" s="564"/>
      <c r="N10" s="564"/>
      <c r="O10" s="564"/>
      <c r="P10" s="564"/>
      <c r="Q10" s="564"/>
      <c r="R10" s="564"/>
      <c r="S10" s="564"/>
      <c r="T10" s="564"/>
      <c r="U10" s="554" t="s">
        <v>265</v>
      </c>
      <c r="V10" s="554"/>
      <c r="W10" s="554"/>
      <c r="X10" s="554"/>
      <c r="Y10" s="554"/>
      <c r="Z10" s="537" t="str">
        <f>PROPER(Dizayn!$C$5)</f>
        <v>Çeltik T.O.</v>
      </c>
      <c r="AA10" s="538"/>
      <c r="AB10" s="538"/>
      <c r="AC10" s="538"/>
      <c r="AD10" s="538"/>
      <c r="AE10" s="538"/>
      <c r="AF10" s="538"/>
      <c r="AG10" s="537"/>
      <c r="AI10" s="371"/>
      <c r="AJ10" s="371"/>
      <c r="AK10" s="371"/>
      <c r="AL10" s="371"/>
    </row>
    <row r="11" spans="1:38" ht="14.1" customHeight="1" x14ac:dyDescent="0.2">
      <c r="A11" s="41"/>
      <c r="B11" s="150"/>
      <c r="G11" s="577" t="str">
        <f>UPPER(Dizayn!C6&amp;" "&amp;"MALAKSÖR ELEK ANALİZİ")</f>
        <v>BİNDER MALAKSÖR ELEK ANALİZİ</v>
      </c>
      <c r="H11" s="578"/>
      <c r="I11" s="578"/>
      <c r="J11" s="578"/>
      <c r="K11" s="578"/>
      <c r="L11" s="578"/>
      <c r="M11" s="578"/>
      <c r="N11" s="578"/>
      <c r="O11" s="578"/>
      <c r="P11" s="578"/>
      <c r="Q11" s="578"/>
      <c r="R11" s="578"/>
      <c r="S11" s="578"/>
      <c r="T11" s="578"/>
      <c r="U11" s="578"/>
      <c r="V11" s="578"/>
      <c r="W11" s="578"/>
      <c r="X11" s="578"/>
      <c r="Y11" s="578"/>
      <c r="Z11" s="579"/>
      <c r="AA11" s="578"/>
      <c r="AB11" s="579"/>
      <c r="AG11" s="43"/>
      <c r="AI11" s="371"/>
      <c r="AJ11" s="371"/>
      <c r="AK11" s="371"/>
      <c r="AL11" s="371"/>
    </row>
    <row r="12" spans="1:38" ht="14.1" customHeight="1" x14ac:dyDescent="0.2">
      <c r="A12" s="36"/>
      <c r="B12" s="37"/>
      <c r="G12" s="520" t="s">
        <v>271</v>
      </c>
      <c r="H12" s="520"/>
      <c r="I12" s="520"/>
      <c r="J12" s="520"/>
      <c r="K12" s="520"/>
      <c r="L12" s="520"/>
      <c r="M12" s="581" t="s">
        <v>77</v>
      </c>
      <c r="N12" s="581"/>
      <c r="O12" s="581"/>
      <c r="P12" s="581"/>
      <c r="Q12" s="581" t="s">
        <v>78</v>
      </c>
      <c r="R12" s="581"/>
      <c r="S12" s="581"/>
      <c r="T12" s="581"/>
      <c r="U12" s="581" t="s">
        <v>79</v>
      </c>
      <c r="V12" s="581"/>
      <c r="W12" s="581"/>
      <c r="X12" s="581"/>
      <c r="Y12" s="581" t="s">
        <v>80</v>
      </c>
      <c r="Z12" s="581"/>
      <c r="AA12" s="581"/>
      <c r="AB12" s="581"/>
      <c r="AG12" s="43"/>
      <c r="AI12" s="371"/>
      <c r="AJ12" s="371"/>
      <c r="AK12" s="371"/>
      <c r="AL12" s="371"/>
    </row>
    <row r="13" spans="1:38" ht="14.1" customHeight="1" x14ac:dyDescent="0.2">
      <c r="A13" s="36"/>
      <c r="B13" s="37"/>
      <c r="G13" s="580" t="s">
        <v>73</v>
      </c>
      <c r="H13" s="580"/>
      <c r="I13" s="580"/>
      <c r="J13" s="580" t="s">
        <v>74</v>
      </c>
      <c r="K13" s="580"/>
      <c r="L13" s="580"/>
      <c r="M13" s="581"/>
      <c r="N13" s="581"/>
      <c r="O13" s="581"/>
      <c r="P13" s="581"/>
      <c r="Q13" s="581"/>
      <c r="R13" s="581"/>
      <c r="S13" s="581"/>
      <c r="T13" s="581"/>
      <c r="U13" s="581"/>
      <c r="V13" s="581"/>
      <c r="W13" s="581"/>
      <c r="X13" s="581"/>
      <c r="Y13" s="581"/>
      <c r="Z13" s="581"/>
      <c r="AA13" s="581"/>
      <c r="AB13" s="581"/>
      <c r="AG13" s="43"/>
      <c r="AI13" s="584" t="s">
        <v>81</v>
      </c>
      <c r="AJ13" s="584"/>
      <c r="AK13" s="584"/>
      <c r="AL13" s="584"/>
    </row>
    <row r="14" spans="1:38" ht="14.1" customHeight="1" x14ac:dyDescent="0.2">
      <c r="A14" s="38"/>
      <c r="B14" s="155"/>
      <c r="G14" s="521">
        <f>Dizayn!$A$29</f>
        <v>38.099999999999994</v>
      </c>
      <c r="H14" s="521"/>
      <c r="I14" s="521"/>
      <c r="J14" s="501" t="str">
        <f>Dizayn!$B$29</f>
        <v>1 1/2"</v>
      </c>
      <c r="K14" s="502"/>
      <c r="L14" s="503"/>
      <c r="M14" s="574">
        <v>0</v>
      </c>
      <c r="N14" s="575"/>
      <c r="O14" s="575"/>
      <c r="P14" s="576"/>
      <c r="Q14" s="573">
        <f ca="1">IF(AND(AI14&lt;=Dizayn!E29,AI14&gt;=Dizayn!F29),ROUND(AI14,1),ROUND(AI14,1)&amp;"X")</f>
        <v>100</v>
      </c>
      <c r="R14" s="573"/>
      <c r="S14" s="573"/>
      <c r="T14" s="573"/>
      <c r="U14" s="572" t="str">
        <f ca="1">Dizayn!$E$29&amp;" - "&amp;Dizayn!$F$29</f>
        <v>100 - 100</v>
      </c>
      <c r="V14" s="572"/>
      <c r="W14" s="572"/>
      <c r="X14" s="572"/>
      <c r="Y14" s="582" t="str">
        <f ca="1">Dizayn!$C$29&amp;" - "&amp;Dizayn!$D$29</f>
        <v>100 - 100</v>
      </c>
      <c r="Z14" s="582"/>
      <c r="AA14" s="582"/>
      <c r="AB14" s="582"/>
      <c r="AG14" s="43"/>
      <c r="AI14" s="583">
        <f>IFERROR(100-($M$14/$M$24*100),0)</f>
        <v>100</v>
      </c>
      <c r="AJ14" s="583"/>
      <c r="AK14" s="583"/>
      <c r="AL14" s="583"/>
    </row>
    <row r="15" spans="1:38" ht="14.1" customHeight="1" x14ac:dyDescent="0.2">
      <c r="A15" s="39"/>
      <c r="B15" s="35"/>
      <c r="G15" s="516">
        <f>Dizayn!$A$30</f>
        <v>25.4</v>
      </c>
      <c r="H15" s="517"/>
      <c r="I15" s="518"/>
      <c r="J15" s="501" t="str">
        <f>Dizayn!$B$30</f>
        <v>1"</v>
      </c>
      <c r="K15" s="502"/>
      <c r="L15" s="503"/>
      <c r="M15" s="574">
        <v>0</v>
      </c>
      <c r="N15" s="575"/>
      <c r="O15" s="575"/>
      <c r="P15" s="576"/>
      <c r="Q15" s="573">
        <f ca="1">IF(AND(AI15&lt;=Dizayn!E30,AI15&gt;=Dizayn!F30),ROUND(AI15,1),ROUND(AI15,1)&amp;"X")</f>
        <v>100</v>
      </c>
      <c r="R15" s="573"/>
      <c r="S15" s="573"/>
      <c r="T15" s="573"/>
      <c r="U15" s="572" t="str">
        <f ca="1">Dizayn!$E$30&amp;" - "&amp;Dizayn!$F$30</f>
        <v>100 - 100</v>
      </c>
      <c r="V15" s="572"/>
      <c r="W15" s="572"/>
      <c r="X15" s="572"/>
      <c r="Y15" s="582" t="str">
        <f ca="1">Dizayn!$C$30&amp;" - "&amp;Dizayn!$D$30</f>
        <v>100 - 100</v>
      </c>
      <c r="Z15" s="582"/>
      <c r="AA15" s="582"/>
      <c r="AB15" s="582"/>
      <c r="AG15" s="43"/>
      <c r="AI15" s="583">
        <f>IFERROR(100-($M$15/$M$24*100),0)</f>
        <v>100</v>
      </c>
      <c r="AJ15" s="583"/>
      <c r="AK15" s="583"/>
      <c r="AL15" s="583"/>
    </row>
    <row r="16" spans="1:38" ht="14.1" customHeight="1" x14ac:dyDescent="0.2">
      <c r="A16" s="39"/>
      <c r="B16" s="35"/>
      <c r="G16" s="516">
        <f>Dizayn!$A$31</f>
        <v>19.100000000000001</v>
      </c>
      <c r="H16" s="517"/>
      <c r="I16" s="518"/>
      <c r="J16" s="501" t="str">
        <f>Dizayn!$B$31</f>
        <v>3/4"</v>
      </c>
      <c r="K16" s="502"/>
      <c r="L16" s="503"/>
      <c r="M16" s="574">
        <v>586.29999999999995</v>
      </c>
      <c r="N16" s="575"/>
      <c r="O16" s="575"/>
      <c r="P16" s="576"/>
      <c r="Q16" s="573">
        <f ca="1">IF(AND(AI16&lt;=Dizayn!E31,AI16&gt;=Dizayn!F31),ROUND(AI16,1),ROUND(AI16,1)&amp;"X")</f>
        <v>90.1</v>
      </c>
      <c r="R16" s="573"/>
      <c r="S16" s="573"/>
      <c r="T16" s="573"/>
      <c r="U16" s="572" t="str">
        <f ca="1">Dizayn!$E$31&amp;" - "&amp;Dizayn!$F$31</f>
        <v>93,5 - 85,5</v>
      </c>
      <c r="V16" s="572"/>
      <c r="W16" s="572"/>
      <c r="X16" s="572"/>
      <c r="Y16" s="582" t="str">
        <f ca="1">Dizayn!$C$31&amp;" - "&amp;Dizayn!$D$31</f>
        <v>100 - 80</v>
      </c>
      <c r="Z16" s="582"/>
      <c r="AA16" s="582"/>
      <c r="AB16" s="582"/>
      <c r="AG16" s="43"/>
      <c r="AI16" s="583">
        <f>IFERROR(100-($M$16/$M$24*100),0)</f>
        <v>90.149860555760895</v>
      </c>
      <c r="AJ16" s="583"/>
      <c r="AK16" s="583"/>
      <c r="AL16" s="583"/>
    </row>
    <row r="17" spans="1:38" ht="14.1" customHeight="1" x14ac:dyDescent="0.2">
      <c r="A17" s="39"/>
      <c r="B17" s="35"/>
      <c r="G17" s="516">
        <f>Dizayn!$A$32</f>
        <v>12.7</v>
      </c>
      <c r="H17" s="517"/>
      <c r="I17" s="518"/>
      <c r="J17" s="501" t="str">
        <f>Dizayn!$B$32</f>
        <v>1/2"</v>
      </c>
      <c r="K17" s="502"/>
      <c r="L17" s="503"/>
      <c r="M17" s="574">
        <v>2018.1</v>
      </c>
      <c r="N17" s="575"/>
      <c r="O17" s="575"/>
      <c r="P17" s="576"/>
      <c r="Q17" s="573">
        <f ca="1">IF(AND(AI17&lt;=Dizayn!E32,AI17&gt;=Dizayn!F32),ROUND(AI17,1),ROUND(AI17,1)&amp;"X")</f>
        <v>66.099999999999994</v>
      </c>
      <c r="R17" s="573"/>
      <c r="S17" s="573"/>
      <c r="T17" s="573"/>
      <c r="U17" s="572" t="str">
        <f ca="1">Dizayn!$E$32&amp;" - "&amp;Dizayn!$F$32</f>
        <v>71,6 - 63,6</v>
      </c>
      <c r="V17" s="572"/>
      <c r="W17" s="572"/>
      <c r="X17" s="572"/>
      <c r="Y17" s="582" t="str">
        <f ca="1">Dizayn!$C$32&amp;" - "&amp;Dizayn!$D$32</f>
        <v>80 - 58</v>
      </c>
      <c r="Z17" s="582"/>
      <c r="AA17" s="582"/>
      <c r="AB17" s="582"/>
      <c r="AG17" s="43"/>
      <c r="AI17" s="583">
        <f>IFERROR(100-($M$17/$M$24*100),0)</f>
        <v>66.094889284634249</v>
      </c>
      <c r="AJ17" s="583"/>
      <c r="AK17" s="583"/>
      <c r="AL17" s="583"/>
    </row>
    <row r="18" spans="1:38" ht="14.1" customHeight="1" x14ac:dyDescent="0.2">
      <c r="A18" s="39"/>
      <c r="B18" s="35"/>
      <c r="G18" s="516">
        <f>Dizayn!$A$33</f>
        <v>9.5299999999999994</v>
      </c>
      <c r="H18" s="517"/>
      <c r="I18" s="518"/>
      <c r="J18" s="501" t="str">
        <f>Dizayn!$B$33</f>
        <v>3/8"</v>
      </c>
      <c r="K18" s="502"/>
      <c r="L18" s="503"/>
      <c r="M18" s="574">
        <v>2674.2</v>
      </c>
      <c r="N18" s="575"/>
      <c r="O18" s="575"/>
      <c r="P18" s="576"/>
      <c r="Q18" s="573" t="str">
        <f ca="1">IF(AND(AI18&lt;=Dizayn!E33,AI18&gt;=Dizayn!F33),ROUND(AI18,1),ROUND(AI18,1)&amp;"X")</f>
        <v>55,1X</v>
      </c>
      <c r="R18" s="573"/>
      <c r="S18" s="573"/>
      <c r="T18" s="573"/>
      <c r="U18" s="572" t="str">
        <f ca="1">Dizayn!$E$33&amp;" - "&amp;Dizayn!$F$33</f>
        <v>64,5 - 56,5</v>
      </c>
      <c r="V18" s="572"/>
      <c r="W18" s="572"/>
      <c r="X18" s="572"/>
      <c r="Y18" s="582" t="str">
        <f ca="1">Dizayn!$C$33&amp;" - "&amp;Dizayn!$D$33</f>
        <v>70 - 48</v>
      </c>
      <c r="Z18" s="582"/>
      <c r="AA18" s="582"/>
      <c r="AB18" s="582"/>
      <c r="AG18" s="43"/>
      <c r="AI18" s="583">
        <f>IFERROR(100-($M$18/$M$24*100),0)</f>
        <v>55.072074191055407</v>
      </c>
      <c r="AJ18" s="583"/>
      <c r="AK18" s="583"/>
      <c r="AL18" s="583"/>
    </row>
    <row r="19" spans="1:38" ht="14.1" customHeight="1" x14ac:dyDescent="0.2">
      <c r="A19" s="39"/>
      <c r="B19" s="35"/>
      <c r="G19" s="513">
        <f>Dizayn!$A$34</f>
        <v>4.75</v>
      </c>
      <c r="H19" s="514"/>
      <c r="I19" s="515"/>
      <c r="J19" s="501" t="str">
        <f>Dizayn!$B$34</f>
        <v>No.4</v>
      </c>
      <c r="K19" s="502"/>
      <c r="L19" s="503"/>
      <c r="M19" s="574">
        <v>3261.4</v>
      </c>
      <c r="N19" s="575"/>
      <c r="O19" s="575"/>
      <c r="P19" s="576"/>
      <c r="Q19" s="573">
        <f ca="1">IF(AND(AI19&lt;=Dizayn!E34,AI19&gt;=Dizayn!F34),ROUND(AI19,1),ROUND(AI19,1)&amp;"X")</f>
        <v>45.2</v>
      </c>
      <c r="R19" s="573"/>
      <c r="S19" s="573"/>
      <c r="T19" s="573"/>
      <c r="U19" s="572" t="str">
        <f ca="1">Dizayn!$E$34&amp;" - "&amp;Dizayn!$F$34</f>
        <v>46,6 - 38,6</v>
      </c>
      <c r="V19" s="572"/>
      <c r="W19" s="572"/>
      <c r="X19" s="572"/>
      <c r="Y19" s="582" t="str">
        <f ca="1">Dizayn!$C$34&amp;" - "&amp;Dizayn!$D$34</f>
        <v>52 - 30</v>
      </c>
      <c r="Z19" s="582"/>
      <c r="AA19" s="582"/>
      <c r="AB19" s="582"/>
      <c r="AG19" s="43"/>
      <c r="AI19" s="583">
        <f>IFERROR(100-($M$19/$M$24*100),0)</f>
        <v>45.20681428715433</v>
      </c>
      <c r="AJ19" s="583"/>
      <c r="AK19" s="583"/>
      <c r="AL19" s="583"/>
    </row>
    <row r="20" spans="1:38" ht="14.1" customHeight="1" x14ac:dyDescent="0.2">
      <c r="A20" s="39"/>
      <c r="B20" s="35"/>
      <c r="G20" s="513">
        <f>Dizayn!$A$35</f>
        <v>2</v>
      </c>
      <c r="H20" s="514"/>
      <c r="I20" s="515"/>
      <c r="J20" s="501" t="str">
        <f>Dizayn!$B$35</f>
        <v>No.10</v>
      </c>
      <c r="K20" s="502"/>
      <c r="L20" s="503"/>
      <c r="M20" s="574">
        <v>4344.7</v>
      </c>
      <c r="N20" s="575"/>
      <c r="O20" s="575"/>
      <c r="P20" s="576"/>
      <c r="Q20" s="573">
        <f ca="1">IF(AND(AI20&lt;=Dizayn!E35,AI20&gt;=Dizayn!F35),ROUND(AI20,1),ROUND(AI20,1)&amp;"X")</f>
        <v>27</v>
      </c>
      <c r="R20" s="573"/>
      <c r="S20" s="573"/>
      <c r="T20" s="573"/>
      <c r="U20" s="572" t="str">
        <f ca="1">Dizayn!$E$35&amp;" - "&amp;Dizayn!$F$35</f>
        <v>30,5 - 24,5</v>
      </c>
      <c r="V20" s="572"/>
      <c r="W20" s="572"/>
      <c r="X20" s="572"/>
      <c r="Y20" s="582" t="str">
        <f ca="1">Dizayn!$C$35&amp;" - "&amp;Dizayn!$D$35</f>
        <v>40 - 20</v>
      </c>
      <c r="Z20" s="582"/>
      <c r="AA20" s="582"/>
      <c r="AB20" s="582"/>
      <c r="AG20" s="43"/>
      <c r="AI20" s="583">
        <f>IFERROR(100-($M$20/$M$24*100),0)</f>
        <v>27.006821007358624</v>
      </c>
      <c r="AJ20" s="583"/>
      <c r="AK20" s="583"/>
      <c r="AL20" s="583"/>
    </row>
    <row r="21" spans="1:38" ht="14.1" customHeight="1" x14ac:dyDescent="0.2">
      <c r="A21" s="39"/>
      <c r="B21" s="35"/>
      <c r="G21" s="498">
        <f>Dizayn!$A$36</f>
        <v>0.42499999999999999</v>
      </c>
      <c r="H21" s="499"/>
      <c r="I21" s="500"/>
      <c r="J21" s="501" t="str">
        <f>Dizayn!$B$36</f>
        <v>No.40</v>
      </c>
      <c r="K21" s="502"/>
      <c r="L21" s="503"/>
      <c r="M21" s="574">
        <v>5280.5</v>
      </c>
      <c r="N21" s="575"/>
      <c r="O21" s="575"/>
      <c r="P21" s="576"/>
      <c r="Q21" s="573">
        <f ca="1">IF(AND(AI21&lt;=Dizayn!E36,AI21&gt;=Dizayn!F36),ROUND(AI21,1),ROUND(AI21,1)&amp;"X")</f>
        <v>11.3</v>
      </c>
      <c r="R21" s="573"/>
      <c r="S21" s="573"/>
      <c r="T21" s="573"/>
      <c r="U21" s="572" t="str">
        <f ca="1">Dizayn!$E$36&amp;" - "&amp;Dizayn!$F$36</f>
        <v>15,9 - 9,9</v>
      </c>
      <c r="V21" s="572"/>
      <c r="W21" s="572"/>
      <c r="X21" s="572"/>
      <c r="Y21" s="582" t="str">
        <f ca="1">Dizayn!$C$36&amp;" - "&amp;Dizayn!$D$36</f>
        <v>22 - 8</v>
      </c>
      <c r="Z21" s="582"/>
      <c r="AA21" s="582"/>
      <c r="AB21" s="582"/>
      <c r="AG21" s="43"/>
      <c r="AI21" s="583">
        <f>IFERROR(100-($M$21/$M$24*100),0)</f>
        <v>11.284903061053058</v>
      </c>
      <c r="AJ21" s="583"/>
      <c r="AK21" s="583"/>
      <c r="AL21" s="583"/>
    </row>
    <row r="22" spans="1:38" ht="14.1" customHeight="1" x14ac:dyDescent="0.2">
      <c r="A22" s="39"/>
      <c r="B22" s="35"/>
      <c r="G22" s="498">
        <f>Dizayn!$A$37</f>
        <v>0.18</v>
      </c>
      <c r="H22" s="499"/>
      <c r="I22" s="500"/>
      <c r="J22" s="501" t="str">
        <f>Dizayn!$B$37</f>
        <v>No.80</v>
      </c>
      <c r="K22" s="502"/>
      <c r="L22" s="503"/>
      <c r="M22" s="574">
        <v>5475.8</v>
      </c>
      <c r="N22" s="575"/>
      <c r="O22" s="575"/>
      <c r="P22" s="576"/>
      <c r="Q22" s="573">
        <f ca="1">IF(AND(AI22&lt;=Dizayn!E37,AI22&gt;=Dizayn!F37),ROUND(AI22,1),ROUND(AI22,1)&amp;"X")</f>
        <v>8</v>
      </c>
      <c r="R22" s="573"/>
      <c r="S22" s="573"/>
      <c r="T22" s="573"/>
      <c r="U22" s="572" t="str">
        <f ca="1">Dizayn!$E$37&amp;" - "&amp;Dizayn!$F$37</f>
        <v>11,8 - 5,8</v>
      </c>
      <c r="V22" s="572"/>
      <c r="W22" s="572"/>
      <c r="X22" s="572"/>
      <c r="Y22" s="582" t="str">
        <f ca="1">Dizayn!$C$37&amp;" - "&amp;Dizayn!$D$37</f>
        <v>14 - 5</v>
      </c>
      <c r="Z22" s="582"/>
      <c r="AA22" s="582"/>
      <c r="AB22" s="582"/>
      <c r="AG22" s="43"/>
      <c r="AI22" s="583">
        <f>IFERROR(100-($M$22/$M$24*100),0)</f>
        <v>8.0037633144047504</v>
      </c>
      <c r="AJ22" s="583"/>
      <c r="AK22" s="583"/>
      <c r="AL22" s="583"/>
    </row>
    <row r="23" spans="1:38" ht="14.1" customHeight="1" x14ac:dyDescent="0.2">
      <c r="A23" s="39"/>
      <c r="B23" s="35"/>
      <c r="G23" s="498">
        <f>Dizayn!$A$38</f>
        <v>7.4999999999999997E-2</v>
      </c>
      <c r="H23" s="499"/>
      <c r="I23" s="500"/>
      <c r="J23" s="501" t="str">
        <f>Dizayn!$B$38</f>
        <v>No.200</v>
      </c>
      <c r="K23" s="502"/>
      <c r="L23" s="503"/>
      <c r="M23" s="574">
        <v>5614.3</v>
      </c>
      <c r="N23" s="575"/>
      <c r="O23" s="575"/>
      <c r="P23" s="576"/>
      <c r="Q23" s="573">
        <f ca="1">IF(AND(AI23&lt;=Dizayn!E38,AI23&gt;=Dizayn!F38),ROUND(AI23,1),ROUND(AI23,1)&amp;"X")</f>
        <v>5.7</v>
      </c>
      <c r="R23" s="573"/>
      <c r="S23" s="573"/>
      <c r="T23" s="573"/>
      <c r="U23" s="572" t="str">
        <f ca="1">Dizayn!$E$38&amp;" - "&amp;Dizayn!$F$38</f>
        <v>7 - 3,25</v>
      </c>
      <c r="V23" s="572"/>
      <c r="W23" s="572"/>
      <c r="X23" s="572"/>
      <c r="Y23" s="582" t="str">
        <f ca="1">Dizayn!$C$38&amp;" - "&amp;Dizayn!$D$38</f>
        <v>7 - 2</v>
      </c>
      <c r="Z23" s="582"/>
      <c r="AA23" s="582"/>
      <c r="AB23" s="582"/>
      <c r="AG23" s="43"/>
      <c r="AI23" s="583">
        <f>IFERROR(100-($M$23/$M$24*100),0)</f>
        <v>5.6768925775343604</v>
      </c>
      <c r="AJ23" s="583"/>
      <c r="AK23" s="583"/>
      <c r="AL23" s="583"/>
    </row>
    <row r="24" spans="1:38" ht="14.1" customHeight="1" x14ac:dyDescent="0.2">
      <c r="A24" s="40"/>
      <c r="B24" s="153"/>
      <c r="G24" s="516" t="s">
        <v>270</v>
      </c>
      <c r="H24" s="517"/>
      <c r="I24" s="517"/>
      <c r="J24" s="517"/>
      <c r="K24" s="517"/>
      <c r="L24" s="518"/>
      <c r="M24" s="574">
        <v>5952.2</v>
      </c>
      <c r="N24" s="575"/>
      <c r="O24" s="575"/>
      <c r="P24" s="576"/>
      <c r="Q24" s="570"/>
      <c r="R24" s="570"/>
      <c r="S24" s="570"/>
      <c r="T24" s="570"/>
      <c r="U24" s="570"/>
      <c r="V24" s="570"/>
      <c r="W24" s="570"/>
      <c r="X24" s="570"/>
      <c r="Y24" s="570"/>
      <c r="Z24" s="570"/>
      <c r="AA24" s="570"/>
      <c r="AB24" s="571"/>
      <c r="AG24" s="43"/>
      <c r="AI24" s="371"/>
      <c r="AJ24" s="371"/>
      <c r="AK24" s="371"/>
      <c r="AL24" s="371"/>
    </row>
    <row r="25" spans="1:38" ht="14.1" customHeight="1" x14ac:dyDescent="0.2">
      <c r="A25" s="164"/>
      <c r="B25" s="151"/>
      <c r="C25" s="151"/>
      <c r="D25" s="165"/>
      <c r="E25" s="163"/>
      <c r="F25" s="163"/>
      <c r="G25" s="163"/>
      <c r="H25" s="163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2"/>
      <c r="AI25" s="371"/>
      <c r="AJ25" s="371"/>
      <c r="AK25" s="371"/>
      <c r="AL25" s="371"/>
    </row>
    <row r="26" spans="1:38" ht="14.1" customHeight="1" x14ac:dyDescent="0.2">
      <c r="A26" s="41"/>
      <c r="AG26" s="43"/>
      <c r="AI26" s="371"/>
      <c r="AJ26" s="371"/>
      <c r="AK26" s="371"/>
      <c r="AL26" s="371"/>
    </row>
    <row r="27" spans="1:38" ht="14.1" customHeight="1" x14ac:dyDescent="0.2">
      <c r="A27" s="41"/>
      <c r="AG27" s="43"/>
      <c r="AI27" s="371"/>
      <c r="AJ27" s="371"/>
      <c r="AK27" s="371"/>
      <c r="AL27" s="371"/>
    </row>
    <row r="28" spans="1:38" ht="14.1" customHeight="1" x14ac:dyDescent="0.2">
      <c r="A28" s="41"/>
      <c r="AG28" s="43"/>
      <c r="AI28" s="371"/>
      <c r="AJ28" s="371"/>
      <c r="AK28" s="371"/>
      <c r="AL28" s="371"/>
    </row>
    <row r="29" spans="1:38" ht="14.1" customHeight="1" x14ac:dyDescent="0.2">
      <c r="A29" s="41"/>
      <c r="AG29" s="43"/>
      <c r="AI29" s="371"/>
      <c r="AJ29" s="371"/>
      <c r="AK29" s="371"/>
      <c r="AL29" s="371"/>
    </row>
    <row r="30" spans="1:38" ht="14.1" customHeight="1" x14ac:dyDescent="0.2">
      <c r="A30" s="41"/>
      <c r="AG30" s="43"/>
      <c r="AI30" s="371"/>
      <c r="AJ30" s="371"/>
      <c r="AK30" s="371"/>
      <c r="AL30" s="371"/>
    </row>
    <row r="31" spans="1:38" ht="14.1" customHeight="1" x14ac:dyDescent="0.2">
      <c r="A31" s="41"/>
      <c r="AG31" s="43"/>
      <c r="AI31" s="371"/>
      <c r="AJ31" s="371"/>
      <c r="AK31" s="371"/>
      <c r="AL31" s="371"/>
    </row>
    <row r="32" spans="1:38" ht="14.1" customHeight="1" x14ac:dyDescent="0.2">
      <c r="A32" s="41"/>
      <c r="AG32" s="43"/>
      <c r="AI32" s="371"/>
      <c r="AJ32" s="371"/>
      <c r="AK32" s="371"/>
      <c r="AL32" s="371"/>
    </row>
    <row r="33" spans="1:38" ht="14.1" customHeight="1" x14ac:dyDescent="0.2">
      <c r="A33" s="41"/>
      <c r="AG33" s="43"/>
      <c r="AI33" s="371"/>
      <c r="AJ33" s="371"/>
      <c r="AK33" s="371"/>
      <c r="AL33" s="371"/>
    </row>
    <row r="34" spans="1:38" ht="14.1" customHeight="1" x14ac:dyDescent="0.2">
      <c r="A34" s="41"/>
      <c r="AG34" s="43"/>
      <c r="AI34" s="371"/>
      <c r="AJ34" s="371"/>
      <c r="AK34" s="371"/>
      <c r="AL34" s="371"/>
    </row>
    <row r="35" spans="1:38" ht="14.1" customHeight="1" x14ac:dyDescent="0.2">
      <c r="A35" s="41"/>
      <c r="AG35" s="43"/>
      <c r="AI35" s="371"/>
      <c r="AJ35" s="371"/>
      <c r="AK35" s="371"/>
      <c r="AL35" s="371"/>
    </row>
    <row r="36" spans="1:38" ht="14.1" customHeight="1" x14ac:dyDescent="0.2">
      <c r="A36" s="41"/>
      <c r="AG36" s="43"/>
      <c r="AI36" s="371"/>
      <c r="AJ36" s="371"/>
      <c r="AK36" s="371"/>
      <c r="AL36" s="371"/>
    </row>
    <row r="37" spans="1:38" ht="14.1" customHeight="1" x14ac:dyDescent="0.2">
      <c r="A37" s="41"/>
      <c r="AG37" s="43"/>
      <c r="AI37" s="371"/>
      <c r="AJ37" s="371"/>
      <c r="AK37" s="371"/>
      <c r="AL37" s="371"/>
    </row>
    <row r="38" spans="1:38" ht="14.1" customHeight="1" x14ac:dyDescent="0.2">
      <c r="A38" s="41"/>
      <c r="AG38" s="43"/>
      <c r="AI38" s="371"/>
      <c r="AJ38" s="371"/>
      <c r="AK38" s="371"/>
      <c r="AL38" s="371"/>
    </row>
    <row r="39" spans="1:38" ht="14.1" customHeight="1" x14ac:dyDescent="0.2">
      <c r="A39" s="41"/>
      <c r="AG39" s="43"/>
      <c r="AI39" s="371"/>
      <c r="AJ39" s="371"/>
      <c r="AK39" s="371"/>
      <c r="AL39" s="371"/>
    </row>
    <row r="40" spans="1:38" ht="14.1" customHeight="1" x14ac:dyDescent="0.2">
      <c r="A40" s="41"/>
      <c r="AG40" s="43"/>
      <c r="AI40" s="371"/>
      <c r="AJ40" s="371"/>
      <c r="AK40" s="371"/>
      <c r="AL40" s="371"/>
    </row>
    <row r="41" spans="1:38" ht="14.1" customHeight="1" x14ac:dyDescent="0.2">
      <c r="A41" s="41"/>
      <c r="AG41" s="43"/>
      <c r="AI41" s="371"/>
      <c r="AJ41" s="371"/>
      <c r="AK41" s="371"/>
      <c r="AL41" s="371"/>
    </row>
    <row r="42" spans="1:38" ht="14.1" customHeight="1" x14ac:dyDescent="0.2">
      <c r="A42" s="41"/>
      <c r="AG42" s="43"/>
      <c r="AI42" s="371"/>
      <c r="AJ42" s="371"/>
      <c r="AK42" s="371"/>
      <c r="AL42" s="371"/>
    </row>
    <row r="43" spans="1:38" ht="14.1" customHeight="1" x14ac:dyDescent="0.2">
      <c r="A43" s="41"/>
      <c r="AG43" s="43"/>
      <c r="AI43" s="371"/>
      <c r="AJ43" s="371"/>
      <c r="AK43" s="371"/>
      <c r="AL43" s="371"/>
    </row>
    <row r="44" spans="1:38" ht="14.1" customHeight="1" x14ac:dyDescent="0.2">
      <c r="A44" s="41"/>
      <c r="AG44" s="43"/>
      <c r="AI44" s="371"/>
      <c r="AJ44" s="371"/>
      <c r="AK44" s="371"/>
      <c r="AL44" s="371"/>
    </row>
    <row r="45" spans="1:38" ht="14.1" customHeight="1" x14ac:dyDescent="0.2">
      <c r="A45" s="41"/>
      <c r="AG45" s="43"/>
      <c r="AI45" s="371"/>
      <c r="AJ45" s="371"/>
      <c r="AK45" s="371"/>
      <c r="AL45" s="371"/>
    </row>
    <row r="46" spans="1:38" ht="14.1" customHeight="1" x14ac:dyDescent="0.2">
      <c r="A46" s="41"/>
      <c r="AG46" s="43"/>
      <c r="AI46" s="371"/>
      <c r="AJ46" s="371"/>
      <c r="AK46" s="371"/>
      <c r="AL46" s="371"/>
    </row>
    <row r="47" spans="1:38" ht="14.1" customHeight="1" x14ac:dyDescent="0.2">
      <c r="A47" s="41"/>
      <c r="AG47" s="43"/>
      <c r="AI47" s="371"/>
      <c r="AJ47" s="371"/>
      <c r="AK47" s="371"/>
      <c r="AL47" s="371"/>
    </row>
    <row r="48" spans="1:38" ht="14.1" customHeight="1" x14ac:dyDescent="0.2">
      <c r="A48" s="41"/>
      <c r="AG48" s="43"/>
      <c r="AI48" s="371"/>
      <c r="AJ48" s="371"/>
      <c r="AK48" s="371"/>
      <c r="AL48" s="371"/>
    </row>
    <row r="49" spans="1:38" ht="14.1" customHeight="1" x14ac:dyDescent="0.2">
      <c r="A49" s="41"/>
      <c r="AG49" s="43"/>
      <c r="AI49" s="371"/>
      <c r="AJ49" s="371"/>
      <c r="AK49" s="371"/>
      <c r="AL49" s="371"/>
    </row>
    <row r="50" spans="1:38" ht="14.1" customHeight="1" x14ac:dyDescent="0.2">
      <c r="A50" s="164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2"/>
      <c r="AI50" s="371"/>
      <c r="AJ50" s="371"/>
      <c r="AK50" s="371"/>
      <c r="AL50" s="371"/>
    </row>
    <row r="51" spans="1:38" ht="14.1" customHeight="1" x14ac:dyDescent="0.2">
      <c r="A51" s="41"/>
      <c r="AG51" s="43"/>
      <c r="AI51" s="371"/>
      <c r="AJ51" s="371"/>
      <c r="AK51" s="371"/>
      <c r="AL51" s="371"/>
    </row>
    <row r="52" spans="1:38" ht="14.1" customHeight="1" x14ac:dyDescent="0.2">
      <c r="A52" s="41"/>
      <c r="AG52" s="43"/>
      <c r="AI52" s="371"/>
      <c r="AJ52" s="371"/>
      <c r="AK52" s="371"/>
      <c r="AL52" s="371"/>
    </row>
    <row r="53" spans="1:38" ht="14.1" customHeight="1" x14ac:dyDescent="0.2">
      <c r="A53" s="41"/>
      <c r="AG53" s="43"/>
      <c r="AI53" s="371"/>
      <c r="AJ53" s="371"/>
      <c r="AK53" s="371"/>
      <c r="AL53" s="371"/>
    </row>
    <row r="54" spans="1:38" ht="14.1" customHeight="1" x14ac:dyDescent="0.2">
      <c r="A54" s="41"/>
      <c r="AG54" s="43"/>
      <c r="AI54" s="371"/>
      <c r="AJ54" s="371"/>
      <c r="AK54" s="371"/>
      <c r="AL54" s="371"/>
    </row>
    <row r="55" spans="1:38" ht="14.1" customHeight="1" x14ac:dyDescent="0.2">
      <c r="A55" s="41"/>
      <c r="AG55" s="43"/>
      <c r="AI55" s="371"/>
      <c r="AJ55" s="371"/>
      <c r="AK55" s="371"/>
      <c r="AL55" s="371"/>
    </row>
    <row r="56" spans="1:38" ht="14.1" customHeight="1" x14ac:dyDescent="0.2">
      <c r="A56" s="41"/>
      <c r="AG56" s="43"/>
      <c r="AI56" s="371"/>
      <c r="AJ56" s="371"/>
      <c r="AK56" s="371"/>
      <c r="AL56" s="371"/>
    </row>
    <row r="57" spans="1:38" ht="14.1" customHeight="1" x14ac:dyDescent="0.2">
      <c r="A57" s="41"/>
      <c r="AG57" s="43"/>
      <c r="AI57" s="371"/>
      <c r="AJ57" s="371"/>
      <c r="AK57" s="371"/>
      <c r="AL57" s="371"/>
    </row>
    <row r="58" spans="1:38" ht="14.1" customHeight="1" x14ac:dyDescent="0.2">
      <c r="A58" s="42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5"/>
      <c r="AI58" s="371"/>
      <c r="AJ58" s="371"/>
      <c r="AK58" s="371"/>
      <c r="AL58" s="371"/>
    </row>
  </sheetData>
  <sheetProtection password="CC3D" sheet="1" objects="1" scenarios="1"/>
  <mergeCells count="99">
    <mergeCell ref="Q21:T21"/>
    <mergeCell ref="Q22:T22"/>
    <mergeCell ref="Q23:T23"/>
    <mergeCell ref="A1:J6"/>
    <mergeCell ref="K1:W6"/>
    <mergeCell ref="A9:F9"/>
    <mergeCell ref="A7:F8"/>
    <mergeCell ref="A10:F10"/>
    <mergeCell ref="J15:L15"/>
    <mergeCell ref="G16:I16"/>
    <mergeCell ref="J16:L16"/>
    <mergeCell ref="G14:I14"/>
    <mergeCell ref="J14:L14"/>
    <mergeCell ref="M21:P21"/>
    <mergeCell ref="M22:P22"/>
    <mergeCell ref="M23:P23"/>
    <mergeCell ref="X1:AG6"/>
    <mergeCell ref="G24:L24"/>
    <mergeCell ref="G7:T8"/>
    <mergeCell ref="G9:T9"/>
    <mergeCell ref="G10:T10"/>
    <mergeCell ref="U9:Y9"/>
    <mergeCell ref="U10:Y10"/>
    <mergeCell ref="Y23:AB23"/>
    <mergeCell ref="M24:P24"/>
    <mergeCell ref="G22:I22"/>
    <mergeCell ref="J22:L22"/>
    <mergeCell ref="G20:I20"/>
    <mergeCell ref="J20:L20"/>
    <mergeCell ref="G21:I21"/>
    <mergeCell ref="J21:L21"/>
    <mergeCell ref="G15:I15"/>
    <mergeCell ref="Z7:AG7"/>
    <mergeCell ref="Z8:AG8"/>
    <mergeCell ref="Z9:AG9"/>
    <mergeCell ref="Z10:AG10"/>
    <mergeCell ref="U7:Y7"/>
    <mergeCell ref="U8:Y8"/>
    <mergeCell ref="AI13:AL13"/>
    <mergeCell ref="AI14:AL14"/>
    <mergeCell ref="AI15:AL15"/>
    <mergeCell ref="AI16:AL16"/>
    <mergeCell ref="AI17:AL17"/>
    <mergeCell ref="AI23:AL23"/>
    <mergeCell ref="Y18:AB18"/>
    <mergeCell ref="Y19:AB19"/>
    <mergeCell ref="Y20:AB20"/>
    <mergeCell ref="Y21:AB21"/>
    <mergeCell ref="Y22:AB22"/>
    <mergeCell ref="AI18:AL18"/>
    <mergeCell ref="AI19:AL19"/>
    <mergeCell ref="AI20:AL20"/>
    <mergeCell ref="AI21:AL21"/>
    <mergeCell ref="AI22:AL22"/>
    <mergeCell ref="Y14:AB14"/>
    <mergeCell ref="U14:X14"/>
    <mergeCell ref="U15:X15"/>
    <mergeCell ref="Y15:AB15"/>
    <mergeCell ref="Y16:AB16"/>
    <mergeCell ref="U16:X16"/>
    <mergeCell ref="M19:P19"/>
    <mergeCell ref="M20:P20"/>
    <mergeCell ref="Q14:T14"/>
    <mergeCell ref="Q15:T15"/>
    <mergeCell ref="Q16:T16"/>
    <mergeCell ref="Q17:T17"/>
    <mergeCell ref="Q18:T18"/>
    <mergeCell ref="U17:X17"/>
    <mergeCell ref="J17:L17"/>
    <mergeCell ref="G11:AB11"/>
    <mergeCell ref="G12:L12"/>
    <mergeCell ref="G13:I13"/>
    <mergeCell ref="J13:L13"/>
    <mergeCell ref="M12:P13"/>
    <mergeCell ref="Q12:T13"/>
    <mergeCell ref="U12:X13"/>
    <mergeCell ref="G17:I17"/>
    <mergeCell ref="Y17:AB17"/>
    <mergeCell ref="Y12:AB13"/>
    <mergeCell ref="M14:P14"/>
    <mergeCell ref="M15:P15"/>
    <mergeCell ref="M16:P16"/>
    <mergeCell ref="M17:P17"/>
    <mergeCell ref="Q24:AB24"/>
    <mergeCell ref="G18:I18"/>
    <mergeCell ref="J18:L18"/>
    <mergeCell ref="G19:I19"/>
    <mergeCell ref="J19:L19"/>
    <mergeCell ref="G23:I23"/>
    <mergeCell ref="U23:X23"/>
    <mergeCell ref="U18:X18"/>
    <mergeCell ref="U19:X19"/>
    <mergeCell ref="U20:X20"/>
    <mergeCell ref="U21:X21"/>
    <mergeCell ref="U22:X22"/>
    <mergeCell ref="J23:L23"/>
    <mergeCell ref="Q19:T19"/>
    <mergeCell ref="Q20:T20"/>
    <mergeCell ref="M18:P18"/>
  </mergeCells>
  <conditionalFormatting sqref="Q14:Q23">
    <cfRule type="containsText" dxfId="12" priority="8" operator="containsText" text="X">
      <formula>NOT(ISERROR(SEARCH("X",Q14)))</formula>
    </cfRule>
  </conditionalFormatting>
  <printOptions verticalCentered="1" gridLinesSet="0"/>
  <pageMargins left="0.70866141732283472" right="0.35433070866141736" top="0.35433070866141736" bottom="0.35433070866141736" header="0" footer="0"/>
  <pageSetup paperSize="9" orientation="portrait" horizontalDpi="300" verticalDpi="30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shapeId="2049" r:id="rId4">
          <objectPr defaultSize="0" autoFill="0" autoLine="0" autoPict="0" r:id="rId5">
            <anchor moveWithCells="1" sizeWithCells="1">
              <from>
                <xdr:col>15</xdr:col>
                <xdr:colOff>0</xdr:colOff>
                <xdr:row>25</xdr:row>
                <xdr:rowOff>57150</xdr:rowOff>
              </from>
              <to>
                <xdr:col>15</xdr:col>
                <xdr:colOff>0</xdr:colOff>
                <xdr:row>25</xdr:row>
                <xdr:rowOff>57150</xdr:rowOff>
              </to>
            </anchor>
          </objectPr>
        </oleObject>
      </mc:Choice>
      <mc:Fallback>
        <oleObject shapeId="2049" r:id="rId4"/>
      </mc:Fallback>
    </mc:AlternateContent>
    <mc:AlternateContent xmlns:mc="http://schemas.openxmlformats.org/markup-compatibility/2006">
      <mc:Choice Requires="x14">
        <oleObject shapeId="2050" r:id="rId6">
          <objectPr defaultSize="0" autoFill="0" autoLine="0" autoPict="0" r:id="rId5">
            <anchor moveWithCells="1" sizeWithCells="1">
              <from>
                <xdr:col>15</xdr:col>
                <xdr:colOff>0</xdr:colOff>
                <xdr:row>25</xdr:row>
                <xdr:rowOff>57150</xdr:rowOff>
              </from>
              <to>
                <xdr:col>15</xdr:col>
                <xdr:colOff>0</xdr:colOff>
                <xdr:row>25</xdr:row>
                <xdr:rowOff>57150</xdr:rowOff>
              </to>
            </anchor>
          </objectPr>
        </oleObject>
      </mc:Choice>
      <mc:Fallback>
        <oleObject shapeId="2050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79"/>
  <sheetViews>
    <sheetView showGridLines="0" zoomScale="90" zoomScaleNormal="90" zoomScaleSheetLayoutView="100" workbookViewId="0">
      <selection activeCell="AW16" sqref="AW16:AY16"/>
    </sheetView>
  </sheetViews>
  <sheetFormatPr defaultColWidth="2.7109375" defaultRowHeight="14.1" customHeight="1" x14ac:dyDescent="0.2"/>
  <cols>
    <col min="1" max="32" width="2.7109375" style="5"/>
    <col min="33" max="33" width="2.7109375" style="5" customWidth="1"/>
    <col min="34" max="66" width="2.7109375" style="5"/>
    <col min="67" max="67" width="2.7109375" style="5" customWidth="1"/>
    <col min="68" max="16384" width="2.7109375" style="5"/>
  </cols>
  <sheetData>
    <row r="1" spans="1:67" ht="14.1" customHeight="1" x14ac:dyDescent="0.2">
      <c r="A1" s="565"/>
      <c r="B1" s="558"/>
      <c r="C1" s="558"/>
      <c r="D1" s="558"/>
      <c r="E1" s="558"/>
      <c r="F1" s="558"/>
      <c r="G1" s="558"/>
      <c r="H1" s="558"/>
      <c r="I1" s="558"/>
      <c r="J1" s="558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555"/>
      <c r="V1" s="555"/>
      <c r="W1" s="555"/>
      <c r="X1" s="558"/>
      <c r="Y1" s="558"/>
      <c r="Z1" s="558"/>
      <c r="AA1" s="558"/>
      <c r="AB1" s="558"/>
      <c r="AC1" s="558"/>
      <c r="AD1" s="558"/>
      <c r="AE1" s="558"/>
      <c r="AF1" s="558"/>
      <c r="AG1" s="559"/>
      <c r="AI1" s="565"/>
      <c r="AJ1" s="558"/>
      <c r="AK1" s="558"/>
      <c r="AL1" s="558"/>
      <c r="AM1" s="558"/>
      <c r="AN1" s="558"/>
      <c r="AO1" s="558"/>
      <c r="AP1" s="558"/>
      <c r="AQ1" s="558"/>
      <c r="AR1" s="558"/>
      <c r="AS1" s="555"/>
      <c r="AT1" s="555"/>
      <c r="AU1" s="555"/>
      <c r="AV1" s="555"/>
      <c r="AW1" s="555"/>
      <c r="AX1" s="555"/>
      <c r="AY1" s="555"/>
      <c r="AZ1" s="555"/>
      <c r="BA1" s="555"/>
      <c r="BB1" s="555"/>
      <c r="BC1" s="555"/>
      <c r="BD1" s="555"/>
      <c r="BE1" s="555"/>
      <c r="BF1" s="558"/>
      <c r="BG1" s="558"/>
      <c r="BH1" s="558"/>
      <c r="BI1" s="558"/>
      <c r="BJ1" s="558"/>
      <c r="BK1" s="558"/>
      <c r="BL1" s="558"/>
      <c r="BM1" s="558"/>
      <c r="BN1" s="558"/>
      <c r="BO1" s="559"/>
    </row>
    <row r="2" spans="1:67" ht="14.1" customHeight="1" x14ac:dyDescent="0.2">
      <c r="A2" s="566"/>
      <c r="B2" s="560"/>
      <c r="C2" s="560"/>
      <c r="D2" s="560"/>
      <c r="E2" s="560"/>
      <c r="F2" s="560"/>
      <c r="G2" s="560"/>
      <c r="H2" s="560"/>
      <c r="I2" s="560"/>
      <c r="J2" s="560"/>
      <c r="K2" s="556"/>
      <c r="L2" s="556"/>
      <c r="M2" s="556"/>
      <c r="N2" s="556"/>
      <c r="O2" s="556"/>
      <c r="P2" s="556"/>
      <c r="Q2" s="556"/>
      <c r="R2" s="556"/>
      <c r="S2" s="556"/>
      <c r="T2" s="556"/>
      <c r="U2" s="556"/>
      <c r="V2" s="556"/>
      <c r="W2" s="556"/>
      <c r="X2" s="560"/>
      <c r="Y2" s="560"/>
      <c r="Z2" s="560"/>
      <c r="AA2" s="560"/>
      <c r="AB2" s="560"/>
      <c r="AC2" s="560"/>
      <c r="AD2" s="560"/>
      <c r="AE2" s="560"/>
      <c r="AF2" s="560"/>
      <c r="AG2" s="561"/>
      <c r="AI2" s="566"/>
      <c r="AJ2" s="560"/>
      <c r="AK2" s="560"/>
      <c r="AL2" s="560"/>
      <c r="AM2" s="560"/>
      <c r="AN2" s="560"/>
      <c r="AO2" s="560"/>
      <c r="AP2" s="560"/>
      <c r="AQ2" s="560"/>
      <c r="AR2" s="560"/>
      <c r="AS2" s="556"/>
      <c r="AT2" s="556"/>
      <c r="AU2" s="556"/>
      <c r="AV2" s="556"/>
      <c r="AW2" s="556"/>
      <c r="AX2" s="556"/>
      <c r="AY2" s="556"/>
      <c r="AZ2" s="556"/>
      <c r="BA2" s="556"/>
      <c r="BB2" s="556"/>
      <c r="BC2" s="556"/>
      <c r="BD2" s="556"/>
      <c r="BE2" s="556"/>
      <c r="BF2" s="560"/>
      <c r="BG2" s="560"/>
      <c r="BH2" s="560"/>
      <c r="BI2" s="560"/>
      <c r="BJ2" s="560"/>
      <c r="BK2" s="560"/>
      <c r="BL2" s="560"/>
      <c r="BM2" s="560"/>
      <c r="BN2" s="560"/>
      <c r="BO2" s="561"/>
    </row>
    <row r="3" spans="1:67" ht="14.1" customHeight="1" x14ac:dyDescent="0.2">
      <c r="A3" s="566"/>
      <c r="B3" s="560"/>
      <c r="C3" s="560"/>
      <c r="D3" s="560"/>
      <c r="E3" s="560"/>
      <c r="F3" s="560"/>
      <c r="G3" s="560"/>
      <c r="H3" s="560"/>
      <c r="I3" s="560"/>
      <c r="J3" s="560"/>
      <c r="K3" s="556"/>
      <c r="L3" s="556"/>
      <c r="M3" s="556"/>
      <c r="N3" s="556"/>
      <c r="O3" s="556"/>
      <c r="P3" s="556"/>
      <c r="Q3" s="556"/>
      <c r="R3" s="556"/>
      <c r="S3" s="556"/>
      <c r="T3" s="556"/>
      <c r="U3" s="556"/>
      <c r="V3" s="556"/>
      <c r="W3" s="556"/>
      <c r="X3" s="560"/>
      <c r="Y3" s="560"/>
      <c r="Z3" s="560"/>
      <c r="AA3" s="560"/>
      <c r="AB3" s="560"/>
      <c r="AC3" s="560"/>
      <c r="AD3" s="560"/>
      <c r="AE3" s="560"/>
      <c r="AF3" s="560"/>
      <c r="AG3" s="561"/>
      <c r="AI3" s="566"/>
      <c r="AJ3" s="560"/>
      <c r="AK3" s="560"/>
      <c r="AL3" s="560"/>
      <c r="AM3" s="560"/>
      <c r="AN3" s="560"/>
      <c r="AO3" s="560"/>
      <c r="AP3" s="560"/>
      <c r="AQ3" s="560"/>
      <c r="AR3" s="560"/>
      <c r="AS3" s="556"/>
      <c r="AT3" s="556"/>
      <c r="AU3" s="556"/>
      <c r="AV3" s="556"/>
      <c r="AW3" s="556"/>
      <c r="AX3" s="556"/>
      <c r="AY3" s="556"/>
      <c r="AZ3" s="556"/>
      <c r="BA3" s="556"/>
      <c r="BB3" s="556"/>
      <c r="BC3" s="556"/>
      <c r="BD3" s="556"/>
      <c r="BE3" s="556"/>
      <c r="BF3" s="560"/>
      <c r="BG3" s="560"/>
      <c r="BH3" s="560"/>
      <c r="BI3" s="560"/>
      <c r="BJ3" s="560"/>
      <c r="BK3" s="560"/>
      <c r="BL3" s="560"/>
      <c r="BM3" s="560"/>
      <c r="BN3" s="560"/>
      <c r="BO3" s="561"/>
    </row>
    <row r="4" spans="1:67" ht="14.1" customHeight="1" x14ac:dyDescent="0.2">
      <c r="A4" s="566"/>
      <c r="B4" s="560"/>
      <c r="C4" s="560"/>
      <c r="D4" s="560"/>
      <c r="E4" s="560"/>
      <c r="F4" s="560"/>
      <c r="G4" s="560"/>
      <c r="H4" s="560"/>
      <c r="I4" s="560"/>
      <c r="J4" s="560"/>
      <c r="K4" s="556"/>
      <c r="L4" s="556"/>
      <c r="M4" s="556"/>
      <c r="N4" s="556"/>
      <c r="O4" s="556"/>
      <c r="P4" s="556"/>
      <c r="Q4" s="556"/>
      <c r="R4" s="556"/>
      <c r="S4" s="556"/>
      <c r="T4" s="556"/>
      <c r="U4" s="556"/>
      <c r="V4" s="556"/>
      <c r="W4" s="556"/>
      <c r="X4" s="560"/>
      <c r="Y4" s="560"/>
      <c r="Z4" s="560"/>
      <c r="AA4" s="560"/>
      <c r="AB4" s="560"/>
      <c r="AC4" s="560"/>
      <c r="AD4" s="560"/>
      <c r="AE4" s="560"/>
      <c r="AF4" s="560"/>
      <c r="AG4" s="561"/>
      <c r="AI4" s="566"/>
      <c r="AJ4" s="560"/>
      <c r="AK4" s="560"/>
      <c r="AL4" s="560"/>
      <c r="AM4" s="560"/>
      <c r="AN4" s="560"/>
      <c r="AO4" s="560"/>
      <c r="AP4" s="560"/>
      <c r="AQ4" s="560"/>
      <c r="AR4" s="560"/>
      <c r="AS4" s="556"/>
      <c r="AT4" s="556"/>
      <c r="AU4" s="556"/>
      <c r="AV4" s="556"/>
      <c r="AW4" s="556"/>
      <c r="AX4" s="556"/>
      <c r="AY4" s="556"/>
      <c r="AZ4" s="556"/>
      <c r="BA4" s="556"/>
      <c r="BB4" s="556"/>
      <c r="BC4" s="556"/>
      <c r="BD4" s="556"/>
      <c r="BE4" s="556"/>
      <c r="BF4" s="560"/>
      <c r="BG4" s="560"/>
      <c r="BH4" s="560"/>
      <c r="BI4" s="560"/>
      <c r="BJ4" s="560"/>
      <c r="BK4" s="560"/>
      <c r="BL4" s="560"/>
      <c r="BM4" s="560"/>
      <c r="BN4" s="560"/>
      <c r="BO4" s="561"/>
    </row>
    <row r="5" spans="1:67" ht="14.1" customHeight="1" x14ac:dyDescent="0.2">
      <c r="A5" s="566"/>
      <c r="B5" s="560"/>
      <c r="C5" s="560"/>
      <c r="D5" s="560"/>
      <c r="E5" s="560"/>
      <c r="F5" s="560"/>
      <c r="G5" s="560"/>
      <c r="H5" s="560"/>
      <c r="I5" s="560"/>
      <c r="J5" s="560"/>
      <c r="K5" s="556"/>
      <c r="L5" s="556"/>
      <c r="M5" s="556"/>
      <c r="N5" s="556"/>
      <c r="O5" s="556"/>
      <c r="P5" s="556"/>
      <c r="Q5" s="556"/>
      <c r="R5" s="556"/>
      <c r="S5" s="556"/>
      <c r="T5" s="556"/>
      <c r="U5" s="556"/>
      <c r="V5" s="556"/>
      <c r="W5" s="556"/>
      <c r="X5" s="560"/>
      <c r="Y5" s="560"/>
      <c r="Z5" s="560"/>
      <c r="AA5" s="560"/>
      <c r="AB5" s="560"/>
      <c r="AC5" s="560"/>
      <c r="AD5" s="560"/>
      <c r="AE5" s="560"/>
      <c r="AF5" s="560"/>
      <c r="AG5" s="561"/>
      <c r="AI5" s="566"/>
      <c r="AJ5" s="560"/>
      <c r="AK5" s="560"/>
      <c r="AL5" s="560"/>
      <c r="AM5" s="560"/>
      <c r="AN5" s="560"/>
      <c r="AO5" s="560"/>
      <c r="AP5" s="560"/>
      <c r="AQ5" s="560"/>
      <c r="AR5" s="560"/>
      <c r="AS5" s="556"/>
      <c r="AT5" s="556"/>
      <c r="AU5" s="556"/>
      <c r="AV5" s="556"/>
      <c r="AW5" s="556"/>
      <c r="AX5" s="556"/>
      <c r="AY5" s="556"/>
      <c r="AZ5" s="556"/>
      <c r="BA5" s="556"/>
      <c r="BB5" s="556"/>
      <c r="BC5" s="556"/>
      <c r="BD5" s="556"/>
      <c r="BE5" s="556"/>
      <c r="BF5" s="560"/>
      <c r="BG5" s="560"/>
      <c r="BH5" s="560"/>
      <c r="BI5" s="560"/>
      <c r="BJ5" s="560"/>
      <c r="BK5" s="560"/>
      <c r="BL5" s="560"/>
      <c r="BM5" s="560"/>
      <c r="BN5" s="560"/>
      <c r="BO5" s="561"/>
    </row>
    <row r="6" spans="1:67" ht="14.1" customHeight="1" x14ac:dyDescent="0.2">
      <c r="A6" s="567"/>
      <c r="B6" s="562"/>
      <c r="C6" s="562"/>
      <c r="D6" s="562"/>
      <c r="E6" s="562"/>
      <c r="F6" s="562"/>
      <c r="G6" s="562"/>
      <c r="H6" s="562"/>
      <c r="I6" s="562"/>
      <c r="J6" s="562"/>
      <c r="K6" s="557"/>
      <c r="L6" s="557"/>
      <c r="M6" s="557"/>
      <c r="N6" s="557"/>
      <c r="O6" s="557"/>
      <c r="P6" s="557"/>
      <c r="Q6" s="557"/>
      <c r="R6" s="557"/>
      <c r="S6" s="557"/>
      <c r="T6" s="557"/>
      <c r="U6" s="557"/>
      <c r="V6" s="557"/>
      <c r="W6" s="557"/>
      <c r="X6" s="562"/>
      <c r="Y6" s="562"/>
      <c r="Z6" s="562"/>
      <c r="AA6" s="562"/>
      <c r="AB6" s="562"/>
      <c r="AC6" s="562"/>
      <c r="AD6" s="562"/>
      <c r="AE6" s="562"/>
      <c r="AF6" s="562"/>
      <c r="AG6" s="563"/>
      <c r="AI6" s="567"/>
      <c r="AJ6" s="562"/>
      <c r="AK6" s="562"/>
      <c r="AL6" s="562"/>
      <c r="AM6" s="562"/>
      <c r="AN6" s="562"/>
      <c r="AO6" s="562"/>
      <c r="AP6" s="562"/>
      <c r="AQ6" s="562"/>
      <c r="AR6" s="562"/>
      <c r="AS6" s="557"/>
      <c r="AT6" s="557"/>
      <c r="AU6" s="557"/>
      <c r="AV6" s="557"/>
      <c r="AW6" s="557"/>
      <c r="AX6" s="557"/>
      <c r="AY6" s="557"/>
      <c r="AZ6" s="557"/>
      <c r="BA6" s="557"/>
      <c r="BB6" s="557"/>
      <c r="BC6" s="557"/>
      <c r="BD6" s="557"/>
      <c r="BE6" s="557"/>
      <c r="BF6" s="562"/>
      <c r="BG6" s="562"/>
      <c r="BH6" s="562"/>
      <c r="BI6" s="562"/>
      <c r="BJ6" s="562"/>
      <c r="BK6" s="562"/>
      <c r="BL6" s="562"/>
      <c r="BM6" s="562"/>
      <c r="BN6" s="562"/>
      <c r="BO6" s="563"/>
    </row>
    <row r="7" spans="1:67" ht="14.1" customHeight="1" x14ac:dyDescent="0.2">
      <c r="A7" s="541" t="s">
        <v>267</v>
      </c>
      <c r="B7" s="542"/>
      <c r="C7" s="542"/>
      <c r="D7" s="542"/>
      <c r="E7" s="542"/>
      <c r="F7" s="542"/>
      <c r="G7" s="545" t="str">
        <f>PROPER(Dizayn!$C$4)</f>
        <v>Keşan Ayrımı - Korudağı - Gelibolu Bölünmüş Yolu İşi</v>
      </c>
      <c r="H7" s="546"/>
      <c r="I7" s="546"/>
      <c r="J7" s="546"/>
      <c r="K7" s="546"/>
      <c r="L7" s="546"/>
      <c r="M7" s="546"/>
      <c r="N7" s="546"/>
      <c r="O7" s="546"/>
      <c r="P7" s="546"/>
      <c r="Q7" s="546"/>
      <c r="R7" s="546"/>
      <c r="S7" s="546"/>
      <c r="T7" s="547"/>
      <c r="U7" s="542" t="s">
        <v>97</v>
      </c>
      <c r="V7" s="542"/>
      <c r="W7" s="542"/>
      <c r="X7" s="542"/>
      <c r="Y7" s="542"/>
      <c r="Z7" s="532">
        <f>'5 BSK'!$S$8</f>
        <v>41750</v>
      </c>
      <c r="AA7" s="533"/>
      <c r="AB7" s="533"/>
      <c r="AC7" s="533"/>
      <c r="AD7" s="533"/>
      <c r="AE7" s="533"/>
      <c r="AF7" s="533"/>
      <c r="AG7" s="532"/>
      <c r="AI7" s="541" t="s">
        <v>267</v>
      </c>
      <c r="AJ7" s="542"/>
      <c r="AK7" s="542"/>
      <c r="AL7" s="542"/>
      <c r="AM7" s="542"/>
      <c r="AN7" s="542"/>
      <c r="AO7" s="545" t="str">
        <f>PROPER(Dizayn!$C$4)</f>
        <v>Keşan Ayrımı - Korudağı - Gelibolu Bölünmüş Yolu İşi</v>
      </c>
      <c r="AP7" s="546"/>
      <c r="AQ7" s="546"/>
      <c r="AR7" s="546"/>
      <c r="AS7" s="546"/>
      <c r="AT7" s="546"/>
      <c r="AU7" s="546"/>
      <c r="AV7" s="546"/>
      <c r="AW7" s="546"/>
      <c r="AX7" s="546"/>
      <c r="AY7" s="546"/>
      <c r="AZ7" s="546"/>
      <c r="BA7" s="546"/>
      <c r="BB7" s="547"/>
      <c r="BC7" s="542" t="s">
        <v>97</v>
      </c>
      <c r="BD7" s="542"/>
      <c r="BE7" s="542"/>
      <c r="BF7" s="542"/>
      <c r="BG7" s="542"/>
      <c r="BH7" s="532">
        <f>'5 BSK'!$S$8</f>
        <v>41750</v>
      </c>
      <c r="BI7" s="533"/>
      <c r="BJ7" s="533"/>
      <c r="BK7" s="533"/>
      <c r="BL7" s="533"/>
      <c r="BM7" s="533"/>
      <c r="BN7" s="533"/>
      <c r="BO7" s="532"/>
    </row>
    <row r="8" spans="1:67" ht="14.1" customHeight="1" x14ac:dyDescent="0.2">
      <c r="A8" s="543"/>
      <c r="B8" s="544"/>
      <c r="C8" s="544"/>
      <c r="D8" s="544"/>
      <c r="E8" s="544"/>
      <c r="F8" s="544"/>
      <c r="G8" s="548"/>
      <c r="H8" s="549"/>
      <c r="I8" s="549"/>
      <c r="J8" s="549"/>
      <c r="K8" s="549"/>
      <c r="L8" s="549"/>
      <c r="M8" s="549"/>
      <c r="N8" s="549"/>
      <c r="O8" s="549"/>
      <c r="P8" s="549"/>
      <c r="Q8" s="549"/>
      <c r="R8" s="549"/>
      <c r="S8" s="549"/>
      <c r="T8" s="550"/>
      <c r="U8" s="544" t="s">
        <v>272</v>
      </c>
      <c r="V8" s="544"/>
      <c r="W8" s="544"/>
      <c r="X8" s="544"/>
      <c r="Y8" s="544"/>
      <c r="Z8" s="529" t="str">
        <f>'5 BSK'!$S$7&amp;" - "&amp;TEXT('5 BSK'!$S$9,"GG.AA.YYYY")</f>
        <v>5 - 22.04.2014</v>
      </c>
      <c r="AA8" s="530"/>
      <c r="AB8" s="530"/>
      <c r="AC8" s="530"/>
      <c r="AD8" s="530"/>
      <c r="AE8" s="530"/>
      <c r="AF8" s="530"/>
      <c r="AG8" s="529"/>
      <c r="AI8" s="543"/>
      <c r="AJ8" s="544"/>
      <c r="AK8" s="544"/>
      <c r="AL8" s="544"/>
      <c r="AM8" s="544"/>
      <c r="AN8" s="544"/>
      <c r="AO8" s="548"/>
      <c r="AP8" s="549"/>
      <c r="AQ8" s="549"/>
      <c r="AR8" s="549"/>
      <c r="AS8" s="549"/>
      <c r="AT8" s="549"/>
      <c r="AU8" s="549"/>
      <c r="AV8" s="549"/>
      <c r="AW8" s="549"/>
      <c r="AX8" s="549"/>
      <c r="AY8" s="549"/>
      <c r="AZ8" s="549"/>
      <c r="BA8" s="549"/>
      <c r="BB8" s="550"/>
      <c r="BC8" s="544" t="s">
        <v>272</v>
      </c>
      <c r="BD8" s="544"/>
      <c r="BE8" s="544"/>
      <c r="BF8" s="544"/>
      <c r="BG8" s="544"/>
      <c r="BH8" s="529" t="str">
        <f>'5 BSK'!$S$7&amp;" - "&amp;TEXT('5 BSK'!$S$9,"GG.AA.YYYY")</f>
        <v>5 - 22.04.2014</v>
      </c>
      <c r="BI8" s="530"/>
      <c r="BJ8" s="530"/>
      <c r="BK8" s="530"/>
      <c r="BL8" s="530"/>
      <c r="BM8" s="530"/>
      <c r="BN8" s="530"/>
      <c r="BO8" s="529"/>
    </row>
    <row r="9" spans="1:67" ht="14.1" customHeight="1" x14ac:dyDescent="0.2">
      <c r="A9" s="551" t="s">
        <v>274</v>
      </c>
      <c r="B9" s="552"/>
      <c r="C9" s="552"/>
      <c r="D9" s="552"/>
      <c r="E9" s="552"/>
      <c r="F9" s="552"/>
      <c r="G9" s="530" t="str">
        <f>PROPER('5 BSK'!$S$10&amp;" "&amp;'5 BSK'!$S$11)</f>
        <v>3+300 - 4+000 Sol Taşıma</v>
      </c>
      <c r="H9" s="530"/>
      <c r="I9" s="530"/>
      <c r="J9" s="530"/>
      <c r="K9" s="530"/>
      <c r="L9" s="530"/>
      <c r="M9" s="530"/>
      <c r="N9" s="530"/>
      <c r="O9" s="530"/>
      <c r="P9" s="530"/>
      <c r="Q9" s="530"/>
      <c r="R9" s="530"/>
      <c r="S9" s="530"/>
      <c r="T9" s="530"/>
      <c r="U9" s="544" t="s">
        <v>64</v>
      </c>
      <c r="V9" s="544"/>
      <c r="W9" s="544"/>
      <c r="X9" s="544"/>
      <c r="Y9" s="544"/>
      <c r="Z9" s="529" t="str">
        <f>PROPER(Dizayn!$C$3)</f>
        <v>Keşan Şantiyesi</v>
      </c>
      <c r="AA9" s="530"/>
      <c r="AB9" s="530"/>
      <c r="AC9" s="530"/>
      <c r="AD9" s="530"/>
      <c r="AE9" s="530"/>
      <c r="AF9" s="530"/>
      <c r="AG9" s="529"/>
      <c r="AI9" s="551" t="s">
        <v>274</v>
      </c>
      <c r="AJ9" s="552"/>
      <c r="AK9" s="552"/>
      <c r="AL9" s="552"/>
      <c r="AM9" s="552"/>
      <c r="AN9" s="552"/>
      <c r="AO9" s="530" t="str">
        <f>PROPER('5 BSK'!$S$10&amp;" "&amp;'5 BSK'!$S$11)</f>
        <v>3+300 - 4+000 Sol Taşıma</v>
      </c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44" t="s">
        <v>64</v>
      </c>
      <c r="BD9" s="544"/>
      <c r="BE9" s="544"/>
      <c r="BF9" s="544"/>
      <c r="BG9" s="544"/>
      <c r="BH9" s="529" t="str">
        <f>PROPER(Dizayn!$C$3)</f>
        <v>Keşan Şantiyesi</v>
      </c>
      <c r="BI9" s="530"/>
      <c r="BJ9" s="530"/>
      <c r="BK9" s="530"/>
      <c r="BL9" s="530"/>
      <c r="BM9" s="530"/>
      <c r="BN9" s="530"/>
      <c r="BO9" s="529"/>
    </row>
    <row r="10" spans="1:67" ht="14.1" customHeight="1" x14ac:dyDescent="0.2">
      <c r="A10" s="553" t="s">
        <v>273</v>
      </c>
      <c r="B10" s="554"/>
      <c r="C10" s="554"/>
      <c r="D10" s="554"/>
      <c r="E10" s="554"/>
      <c r="F10" s="554"/>
      <c r="G10" s="564" t="str">
        <f>PROPER(Dizayn!$C$6)</f>
        <v>Binder</v>
      </c>
      <c r="H10" s="564"/>
      <c r="I10" s="564"/>
      <c r="J10" s="564"/>
      <c r="K10" s="564"/>
      <c r="L10" s="564"/>
      <c r="M10" s="564"/>
      <c r="N10" s="564"/>
      <c r="O10" s="564"/>
      <c r="P10" s="564"/>
      <c r="Q10" s="564"/>
      <c r="R10" s="564"/>
      <c r="S10" s="564"/>
      <c r="T10" s="564"/>
      <c r="U10" s="554" t="s">
        <v>265</v>
      </c>
      <c r="V10" s="554"/>
      <c r="W10" s="554"/>
      <c r="X10" s="554"/>
      <c r="Y10" s="554"/>
      <c r="Z10" s="537" t="str">
        <f>PROPER(Dizayn!$C$5)</f>
        <v>Çeltik T.O.</v>
      </c>
      <c r="AA10" s="538"/>
      <c r="AB10" s="538"/>
      <c r="AC10" s="538"/>
      <c r="AD10" s="538"/>
      <c r="AE10" s="538"/>
      <c r="AF10" s="538"/>
      <c r="AG10" s="537"/>
      <c r="AI10" s="553" t="s">
        <v>273</v>
      </c>
      <c r="AJ10" s="554"/>
      <c r="AK10" s="554"/>
      <c r="AL10" s="554"/>
      <c r="AM10" s="554"/>
      <c r="AN10" s="554"/>
      <c r="AO10" s="564" t="str">
        <f>PROPER(Dizayn!$C$6)</f>
        <v>Binder</v>
      </c>
      <c r="AP10" s="564"/>
      <c r="AQ10" s="564"/>
      <c r="AR10" s="564"/>
      <c r="AS10" s="564"/>
      <c r="AT10" s="564"/>
      <c r="AU10" s="564"/>
      <c r="AV10" s="564"/>
      <c r="AW10" s="564"/>
      <c r="AX10" s="564"/>
      <c r="AY10" s="564"/>
      <c r="AZ10" s="564"/>
      <c r="BA10" s="564"/>
      <c r="BB10" s="564"/>
      <c r="BC10" s="554" t="s">
        <v>265</v>
      </c>
      <c r="BD10" s="554"/>
      <c r="BE10" s="554"/>
      <c r="BF10" s="554"/>
      <c r="BG10" s="554"/>
      <c r="BH10" s="537" t="str">
        <f>PROPER(Dizayn!$C$5)</f>
        <v>Çeltik T.O.</v>
      </c>
      <c r="BI10" s="538"/>
      <c r="BJ10" s="538"/>
      <c r="BK10" s="538"/>
      <c r="BL10" s="538"/>
      <c r="BM10" s="538"/>
      <c r="BN10" s="538"/>
      <c r="BO10" s="537"/>
    </row>
    <row r="11" spans="1:67" ht="14.1" customHeight="1" x14ac:dyDescent="0.2">
      <c r="A11" s="577" t="str">
        <f>PROPER(Dizayn!$C$6&amp;" "&amp;"EKSTRASYON ELEK ANALİZİ (Sabah İmalatı)")</f>
        <v>Binder Ekstrasyon Elek Analizi (Sabah İmalatı)</v>
      </c>
      <c r="B11" s="578"/>
      <c r="C11" s="578"/>
      <c r="D11" s="578"/>
      <c r="E11" s="578"/>
      <c r="F11" s="578"/>
      <c r="G11" s="578"/>
      <c r="H11" s="578"/>
      <c r="I11" s="578"/>
      <c r="J11" s="578"/>
      <c r="K11" s="578"/>
      <c r="L11" s="578"/>
      <c r="M11" s="578"/>
      <c r="N11" s="578"/>
      <c r="O11" s="578"/>
      <c r="P11" s="578"/>
      <c r="Q11" s="578"/>
      <c r="R11" s="174"/>
      <c r="S11" s="577" t="s">
        <v>276</v>
      </c>
      <c r="T11" s="578"/>
      <c r="U11" s="578"/>
      <c r="V11" s="578"/>
      <c r="W11" s="578"/>
      <c r="X11" s="578"/>
      <c r="Y11" s="578"/>
      <c r="Z11" s="579"/>
      <c r="AA11" s="578"/>
      <c r="AB11" s="578"/>
      <c r="AC11" s="578"/>
      <c r="AD11" s="578"/>
      <c r="AE11" s="578"/>
      <c r="AF11" s="578"/>
      <c r="AG11" s="579"/>
      <c r="AI11" s="611" t="str">
        <f>PROPER(Dizayn!$C$6&amp;" "&amp;"EKSTRASYON ELEK ANALİZİ (Öğleden sonraki imalat)")</f>
        <v>Binder Ekstrasyon Elek Analizi (Öğleden Sonraki İmalat)</v>
      </c>
      <c r="AJ11" s="612"/>
      <c r="AK11" s="612"/>
      <c r="AL11" s="612"/>
      <c r="AM11" s="612"/>
      <c r="AN11" s="612"/>
      <c r="AO11" s="612"/>
      <c r="AP11" s="612"/>
      <c r="AQ11" s="612"/>
      <c r="AR11" s="612"/>
      <c r="AS11" s="612"/>
      <c r="AT11" s="612"/>
      <c r="AU11" s="612"/>
      <c r="AV11" s="612"/>
      <c r="AW11" s="612"/>
      <c r="AX11" s="612"/>
      <c r="AY11" s="613"/>
      <c r="AZ11" s="174"/>
      <c r="BA11" s="611" t="s">
        <v>276</v>
      </c>
      <c r="BB11" s="612"/>
      <c r="BC11" s="612"/>
      <c r="BD11" s="612"/>
      <c r="BE11" s="612"/>
      <c r="BF11" s="612"/>
      <c r="BG11" s="612"/>
      <c r="BH11" s="613"/>
      <c r="BI11" s="612"/>
      <c r="BJ11" s="612"/>
      <c r="BK11" s="612"/>
      <c r="BL11" s="612"/>
      <c r="BM11" s="612"/>
      <c r="BN11" s="612"/>
      <c r="BO11" s="613"/>
    </row>
    <row r="12" spans="1:67" ht="14.1" customHeight="1" x14ac:dyDescent="0.2">
      <c r="A12" s="520" t="s">
        <v>271</v>
      </c>
      <c r="B12" s="520"/>
      <c r="C12" s="520"/>
      <c r="D12" s="520"/>
      <c r="E12" s="520"/>
      <c r="F12" s="587" t="s">
        <v>77</v>
      </c>
      <c r="G12" s="587"/>
      <c r="H12" s="587"/>
      <c r="I12" s="581" t="s">
        <v>78</v>
      </c>
      <c r="J12" s="581"/>
      <c r="K12" s="581"/>
      <c r="L12" s="587" t="s">
        <v>79</v>
      </c>
      <c r="M12" s="587"/>
      <c r="N12" s="587"/>
      <c r="O12" s="587" t="s">
        <v>80</v>
      </c>
      <c r="P12" s="587"/>
      <c r="Q12" s="610"/>
      <c r="R12" s="171"/>
      <c r="S12" s="602" t="s">
        <v>82</v>
      </c>
      <c r="T12" s="602"/>
      <c r="U12" s="602"/>
      <c r="V12" s="602"/>
      <c r="W12" s="602"/>
      <c r="X12" s="602"/>
      <c r="Y12" s="602"/>
      <c r="Z12" s="602"/>
      <c r="AA12" s="602"/>
      <c r="AB12" s="602"/>
      <c r="AC12" s="602"/>
      <c r="AD12" s="602"/>
      <c r="AE12" s="596">
        <v>1380.6</v>
      </c>
      <c r="AF12" s="596"/>
      <c r="AG12" s="596"/>
      <c r="AI12" s="520" t="s">
        <v>271</v>
      </c>
      <c r="AJ12" s="520"/>
      <c r="AK12" s="520"/>
      <c r="AL12" s="520"/>
      <c r="AM12" s="520"/>
      <c r="AN12" s="587" t="s">
        <v>77</v>
      </c>
      <c r="AO12" s="587"/>
      <c r="AP12" s="587"/>
      <c r="AQ12" s="581" t="s">
        <v>78</v>
      </c>
      <c r="AR12" s="581"/>
      <c r="AS12" s="581"/>
      <c r="AT12" s="587" t="s">
        <v>79</v>
      </c>
      <c r="AU12" s="587"/>
      <c r="AV12" s="587"/>
      <c r="AW12" s="587" t="s">
        <v>80</v>
      </c>
      <c r="AX12" s="587"/>
      <c r="AY12" s="610"/>
      <c r="AZ12" s="171"/>
      <c r="BA12" s="602" t="s">
        <v>82</v>
      </c>
      <c r="BB12" s="602"/>
      <c r="BC12" s="602"/>
      <c r="BD12" s="602"/>
      <c r="BE12" s="602"/>
      <c r="BF12" s="602"/>
      <c r="BG12" s="602"/>
      <c r="BH12" s="602"/>
      <c r="BI12" s="602"/>
      <c r="BJ12" s="602"/>
      <c r="BK12" s="602"/>
      <c r="BL12" s="602"/>
      <c r="BM12" s="596">
        <v>1380.6</v>
      </c>
      <c r="BN12" s="596"/>
      <c r="BO12" s="596"/>
    </row>
    <row r="13" spans="1:67" ht="14.1" customHeight="1" x14ac:dyDescent="0.2">
      <c r="A13" s="580" t="s">
        <v>73</v>
      </c>
      <c r="B13" s="580"/>
      <c r="C13" s="580" t="s">
        <v>74</v>
      </c>
      <c r="D13" s="580"/>
      <c r="E13" s="580"/>
      <c r="F13" s="587"/>
      <c r="G13" s="587"/>
      <c r="H13" s="587"/>
      <c r="I13" s="581"/>
      <c r="J13" s="581"/>
      <c r="K13" s="581"/>
      <c r="L13" s="587"/>
      <c r="M13" s="587"/>
      <c r="N13" s="587"/>
      <c r="O13" s="587"/>
      <c r="P13" s="587"/>
      <c r="Q13" s="610"/>
      <c r="R13" s="171"/>
      <c r="S13" s="602"/>
      <c r="T13" s="602"/>
      <c r="U13" s="602"/>
      <c r="V13" s="602"/>
      <c r="W13" s="602"/>
      <c r="X13" s="602"/>
      <c r="Y13" s="602"/>
      <c r="Z13" s="602"/>
      <c r="AA13" s="602"/>
      <c r="AB13" s="602"/>
      <c r="AC13" s="602"/>
      <c r="AD13" s="602"/>
      <c r="AE13" s="596"/>
      <c r="AF13" s="596"/>
      <c r="AG13" s="596"/>
      <c r="AI13" s="580" t="s">
        <v>73</v>
      </c>
      <c r="AJ13" s="580"/>
      <c r="AK13" s="580" t="s">
        <v>74</v>
      </c>
      <c r="AL13" s="580"/>
      <c r="AM13" s="580"/>
      <c r="AN13" s="587"/>
      <c r="AO13" s="587"/>
      <c r="AP13" s="587"/>
      <c r="AQ13" s="581"/>
      <c r="AR13" s="581"/>
      <c r="AS13" s="581"/>
      <c r="AT13" s="587"/>
      <c r="AU13" s="587"/>
      <c r="AV13" s="587"/>
      <c r="AW13" s="587"/>
      <c r="AX13" s="587"/>
      <c r="AY13" s="610"/>
      <c r="AZ13" s="171"/>
      <c r="BA13" s="602"/>
      <c r="BB13" s="602"/>
      <c r="BC13" s="602"/>
      <c r="BD13" s="602"/>
      <c r="BE13" s="602"/>
      <c r="BF13" s="602"/>
      <c r="BG13" s="602"/>
      <c r="BH13" s="602"/>
      <c r="BI13" s="602"/>
      <c r="BJ13" s="602"/>
      <c r="BK13" s="602"/>
      <c r="BL13" s="602"/>
      <c r="BM13" s="596"/>
      <c r="BN13" s="596"/>
      <c r="BO13" s="596"/>
    </row>
    <row r="14" spans="1:67" ht="14.1" customHeight="1" x14ac:dyDescent="0.2">
      <c r="A14" s="580">
        <f>Dizayn!$A$29</f>
        <v>38.099999999999994</v>
      </c>
      <c r="B14" s="580"/>
      <c r="C14" s="580" t="str">
        <f>Dizayn!$B$29</f>
        <v>1 1/2"</v>
      </c>
      <c r="D14" s="580"/>
      <c r="E14" s="580"/>
      <c r="F14" s="588"/>
      <c r="G14" s="589"/>
      <c r="H14" s="590"/>
      <c r="I14" s="624">
        <f ca="1">IF(AND(A62&lt;=Dizayn!E29,A62&gt;=Dizayn!F29),ROUND(A62,1),ROUND(A62,1)&amp;"X")</f>
        <v>100</v>
      </c>
      <c r="J14" s="624"/>
      <c r="K14" s="624"/>
      <c r="L14" s="592" t="str">
        <f ca="1">Dizayn!$E$29&amp;" - "&amp;Dizayn!$F$29</f>
        <v>100 - 100</v>
      </c>
      <c r="M14" s="592"/>
      <c r="N14" s="592"/>
      <c r="O14" s="456" t="str">
        <f ca="1">Dizayn!$C$29&amp;" - "&amp;Dizayn!$D$29</f>
        <v>100 - 100</v>
      </c>
      <c r="P14" s="456"/>
      <c r="Q14" s="609"/>
      <c r="R14" s="172"/>
      <c r="S14" s="602" t="s">
        <v>83</v>
      </c>
      <c r="T14" s="602"/>
      <c r="U14" s="602"/>
      <c r="V14" s="602"/>
      <c r="W14" s="602"/>
      <c r="X14" s="602"/>
      <c r="Y14" s="602"/>
      <c r="Z14" s="602"/>
      <c r="AA14" s="602"/>
      <c r="AB14" s="602"/>
      <c r="AC14" s="602"/>
      <c r="AD14" s="602"/>
      <c r="AE14" s="596">
        <v>11</v>
      </c>
      <c r="AF14" s="596"/>
      <c r="AG14" s="596"/>
      <c r="AI14" s="580">
        <f>Dizayn!$A$29</f>
        <v>38.099999999999994</v>
      </c>
      <c r="AJ14" s="580"/>
      <c r="AK14" s="580" t="str">
        <f>Dizayn!$B$29</f>
        <v>1 1/2"</v>
      </c>
      <c r="AL14" s="580"/>
      <c r="AM14" s="580"/>
      <c r="AN14" s="588"/>
      <c r="AO14" s="589"/>
      <c r="AP14" s="590"/>
      <c r="AQ14" s="624">
        <f ca="1">IF(AND(AI62&lt;=Dizayn!E29,AI62&gt;=Dizayn!F29),ROUND(AI62,1),ROUND(AI62,1)&amp;"X")</f>
        <v>100</v>
      </c>
      <c r="AR14" s="624"/>
      <c r="AS14" s="624"/>
      <c r="AT14" s="592" t="str">
        <f ca="1">Dizayn!$E$29&amp;" - "&amp;Dizayn!$F$29</f>
        <v>100 - 100</v>
      </c>
      <c r="AU14" s="592"/>
      <c r="AV14" s="592"/>
      <c r="AW14" s="456" t="str">
        <f ca="1">Dizayn!$C$29&amp;" - "&amp;Dizayn!$D$29</f>
        <v>100 - 100</v>
      </c>
      <c r="AX14" s="456"/>
      <c r="AY14" s="609"/>
      <c r="AZ14" s="172"/>
      <c r="BA14" s="602" t="s">
        <v>83</v>
      </c>
      <c r="BB14" s="602"/>
      <c r="BC14" s="602"/>
      <c r="BD14" s="602"/>
      <c r="BE14" s="602"/>
      <c r="BF14" s="602"/>
      <c r="BG14" s="602"/>
      <c r="BH14" s="602"/>
      <c r="BI14" s="602"/>
      <c r="BJ14" s="602"/>
      <c r="BK14" s="602"/>
      <c r="BL14" s="602"/>
      <c r="BM14" s="596">
        <v>11</v>
      </c>
      <c r="BN14" s="596"/>
      <c r="BO14" s="596"/>
    </row>
    <row r="15" spans="1:67" ht="14.1" customHeight="1" x14ac:dyDescent="0.2">
      <c r="A15" s="580">
        <f>Dizayn!$A$30</f>
        <v>25.4</v>
      </c>
      <c r="B15" s="580"/>
      <c r="C15" s="580" t="str">
        <f>Dizayn!$B$30</f>
        <v>1"</v>
      </c>
      <c r="D15" s="580"/>
      <c r="E15" s="580"/>
      <c r="F15" s="588">
        <v>0</v>
      </c>
      <c r="G15" s="589"/>
      <c r="H15" s="590"/>
      <c r="I15" s="624">
        <f ca="1">IF(AND(A63&lt;=Dizayn!E30,A63&gt;=Dizayn!F30),ROUND(A63,1),ROUND(A63,1)&amp;"X")</f>
        <v>100</v>
      </c>
      <c r="J15" s="624"/>
      <c r="K15" s="624"/>
      <c r="L15" s="592" t="str">
        <f ca="1">Dizayn!$E$30&amp;" - "&amp;Dizayn!$F$30</f>
        <v>100 - 100</v>
      </c>
      <c r="M15" s="592"/>
      <c r="N15" s="592"/>
      <c r="O15" s="456" t="str">
        <f ca="1">Dizayn!$C$30&amp;" - "&amp;Dizayn!$D$30</f>
        <v>100 - 100</v>
      </c>
      <c r="P15" s="456"/>
      <c r="Q15" s="609"/>
      <c r="R15" s="172"/>
      <c r="S15" s="602" t="s">
        <v>84</v>
      </c>
      <c r="T15" s="602"/>
      <c r="U15" s="602"/>
      <c r="V15" s="602"/>
      <c r="W15" s="602"/>
      <c r="X15" s="602"/>
      <c r="Y15" s="602"/>
      <c r="Z15" s="602"/>
      <c r="AA15" s="602"/>
      <c r="AB15" s="602"/>
      <c r="AC15" s="602"/>
      <c r="AD15" s="602"/>
      <c r="AE15" s="596">
        <v>1320.4</v>
      </c>
      <c r="AF15" s="596"/>
      <c r="AG15" s="596"/>
      <c r="AI15" s="580">
        <f>Dizayn!$A$30</f>
        <v>25.4</v>
      </c>
      <c r="AJ15" s="580"/>
      <c r="AK15" s="580" t="str">
        <f>Dizayn!$B$30</f>
        <v>1"</v>
      </c>
      <c r="AL15" s="580"/>
      <c r="AM15" s="580"/>
      <c r="AN15" s="588">
        <v>0</v>
      </c>
      <c r="AO15" s="589"/>
      <c r="AP15" s="590"/>
      <c r="AQ15" s="624">
        <f ca="1">IF(AND(AI63&lt;=Dizayn!E30,AI63&gt;=Dizayn!F30),ROUND(AI63,1),ROUND(AI63,1)&amp;"X")</f>
        <v>100</v>
      </c>
      <c r="AR15" s="624"/>
      <c r="AS15" s="624"/>
      <c r="AT15" s="592" t="str">
        <f ca="1">Dizayn!$E$30&amp;" - "&amp;Dizayn!$F$30</f>
        <v>100 - 100</v>
      </c>
      <c r="AU15" s="592"/>
      <c r="AV15" s="592"/>
      <c r="AW15" s="456" t="str">
        <f ca="1">Dizayn!$C$30&amp;" - "&amp;Dizayn!$D$30</f>
        <v>100 - 100</v>
      </c>
      <c r="AX15" s="456"/>
      <c r="AY15" s="609"/>
      <c r="AZ15" s="172"/>
      <c r="BA15" s="602" t="s">
        <v>84</v>
      </c>
      <c r="BB15" s="602"/>
      <c r="BC15" s="602"/>
      <c r="BD15" s="602"/>
      <c r="BE15" s="602"/>
      <c r="BF15" s="602"/>
      <c r="BG15" s="602"/>
      <c r="BH15" s="602"/>
      <c r="BI15" s="602"/>
      <c r="BJ15" s="602"/>
      <c r="BK15" s="602"/>
      <c r="BL15" s="602"/>
      <c r="BM15" s="596">
        <v>1320.4</v>
      </c>
      <c r="BN15" s="596"/>
      <c r="BO15" s="596"/>
    </row>
    <row r="16" spans="1:67" ht="14.1" customHeight="1" x14ac:dyDescent="0.2">
      <c r="A16" s="580">
        <f>Dizayn!$A$31</f>
        <v>19.100000000000001</v>
      </c>
      <c r="B16" s="580"/>
      <c r="C16" s="580" t="str">
        <f>Dizayn!$B$31</f>
        <v>3/4"</v>
      </c>
      <c r="D16" s="580"/>
      <c r="E16" s="580"/>
      <c r="F16" s="588">
        <v>105.1</v>
      </c>
      <c r="G16" s="589"/>
      <c r="H16" s="590"/>
      <c r="I16" s="624">
        <f ca="1">IF(AND(A64&lt;=Dizayn!E31,A64&gt;=Dizayn!F31),ROUND(A64,1),ROUND(A64,1)&amp;"X")</f>
        <v>92</v>
      </c>
      <c r="J16" s="624"/>
      <c r="K16" s="624"/>
      <c r="L16" s="592" t="str">
        <f ca="1">Dizayn!$E$31&amp;" - "&amp;Dizayn!$F$31</f>
        <v>93,5 - 85,5</v>
      </c>
      <c r="M16" s="592"/>
      <c r="N16" s="592"/>
      <c r="O16" s="456" t="str">
        <f ca="1">Dizayn!$C$31&amp;" - "&amp;Dizayn!$D$31</f>
        <v>100 - 80</v>
      </c>
      <c r="P16" s="456"/>
      <c r="Q16" s="609"/>
      <c r="R16" s="172"/>
      <c r="S16" s="602"/>
      <c r="T16" s="602"/>
      <c r="U16" s="602"/>
      <c r="V16" s="602"/>
      <c r="W16" s="602"/>
      <c r="X16" s="602"/>
      <c r="Y16" s="602"/>
      <c r="Z16" s="602"/>
      <c r="AA16" s="602"/>
      <c r="AB16" s="602"/>
      <c r="AC16" s="602"/>
      <c r="AD16" s="602"/>
      <c r="AE16" s="596"/>
      <c r="AF16" s="596"/>
      <c r="AG16" s="596"/>
      <c r="AI16" s="580">
        <f>Dizayn!$A$31</f>
        <v>19.100000000000001</v>
      </c>
      <c r="AJ16" s="580"/>
      <c r="AK16" s="580" t="str">
        <f>Dizayn!$B$31</f>
        <v>3/4"</v>
      </c>
      <c r="AL16" s="580"/>
      <c r="AM16" s="580"/>
      <c r="AN16" s="588">
        <v>105.1</v>
      </c>
      <c r="AO16" s="589"/>
      <c r="AP16" s="590"/>
      <c r="AQ16" s="624">
        <f ca="1">IF(AND(AI64&lt;=Dizayn!E31,AI64&gt;=Dizayn!F31),ROUND(AI64,1),ROUND(AI64,1)&amp;"X")</f>
        <v>92</v>
      </c>
      <c r="AR16" s="624"/>
      <c r="AS16" s="624"/>
      <c r="AT16" s="592" t="str">
        <f ca="1">Dizayn!$E$31&amp;" - "&amp;Dizayn!$F$31</f>
        <v>93,5 - 85,5</v>
      </c>
      <c r="AU16" s="592"/>
      <c r="AV16" s="592"/>
      <c r="AW16" s="456" t="str">
        <f ca="1">Dizayn!$C$31&amp;" - "&amp;Dizayn!$D$31</f>
        <v>100 - 80</v>
      </c>
      <c r="AX16" s="456"/>
      <c r="AY16" s="609"/>
      <c r="AZ16" s="172"/>
      <c r="BA16" s="602"/>
      <c r="BB16" s="602"/>
      <c r="BC16" s="602"/>
      <c r="BD16" s="602"/>
      <c r="BE16" s="602"/>
      <c r="BF16" s="602"/>
      <c r="BG16" s="602"/>
      <c r="BH16" s="602"/>
      <c r="BI16" s="602"/>
      <c r="BJ16" s="602"/>
      <c r="BK16" s="602"/>
      <c r="BL16" s="602"/>
      <c r="BM16" s="596"/>
      <c r="BN16" s="596"/>
      <c r="BO16" s="596"/>
    </row>
    <row r="17" spans="1:67" ht="14.1" customHeight="1" x14ac:dyDescent="0.2">
      <c r="A17" s="580">
        <f>Dizayn!$A$32</f>
        <v>12.7</v>
      </c>
      <c r="B17" s="580"/>
      <c r="C17" s="580" t="str">
        <f>Dizayn!$B$32</f>
        <v>1/2"</v>
      </c>
      <c r="D17" s="580"/>
      <c r="E17" s="580"/>
      <c r="F17" s="588">
        <v>411.2</v>
      </c>
      <c r="G17" s="589"/>
      <c r="H17" s="590"/>
      <c r="I17" s="624">
        <f ca="1">IF(AND(A65&lt;=Dizayn!E32,A65&gt;=Dizayn!F32),ROUND(A65,1),ROUND(A65,1)&amp;"X")</f>
        <v>68.599999999999994</v>
      </c>
      <c r="J17" s="624"/>
      <c r="K17" s="624"/>
      <c r="L17" s="592" t="str">
        <f ca="1">Dizayn!$E$32&amp;" - "&amp;Dizayn!$F$32</f>
        <v>71,6 - 63,6</v>
      </c>
      <c r="M17" s="592"/>
      <c r="N17" s="592"/>
      <c r="O17" s="456" t="str">
        <f ca="1">Dizayn!$C$32&amp;" - "&amp;Dizayn!$D$32</f>
        <v>80 - 58</v>
      </c>
      <c r="P17" s="456"/>
      <c r="Q17" s="609"/>
      <c r="R17" s="172"/>
      <c r="S17" s="602" t="s">
        <v>275</v>
      </c>
      <c r="T17" s="602"/>
      <c r="U17" s="602"/>
      <c r="V17" s="602"/>
      <c r="W17" s="602"/>
      <c r="X17" s="602"/>
      <c r="Y17" s="602"/>
      <c r="Z17" s="602"/>
      <c r="AA17" s="602"/>
      <c r="AB17" s="602"/>
      <c r="AC17" s="602"/>
      <c r="AD17" s="602"/>
      <c r="AE17" s="597">
        <f>IF(ISNUMBER(AE15),AE12-AE15,"")</f>
        <v>60.199999999999818</v>
      </c>
      <c r="AF17" s="597"/>
      <c r="AG17" s="597"/>
      <c r="AI17" s="580">
        <f>Dizayn!$A$32</f>
        <v>12.7</v>
      </c>
      <c r="AJ17" s="580"/>
      <c r="AK17" s="580" t="str">
        <f>Dizayn!$B$32</f>
        <v>1/2"</v>
      </c>
      <c r="AL17" s="580"/>
      <c r="AM17" s="580"/>
      <c r="AN17" s="588">
        <v>420</v>
      </c>
      <c r="AO17" s="589"/>
      <c r="AP17" s="590"/>
      <c r="AQ17" s="624">
        <f ca="1">IF(AND(AI65&lt;=Dizayn!E32,AI65&gt;=Dizayn!F32),ROUND(AI65,1),ROUND(AI65,1)&amp;"X")</f>
        <v>67.900000000000006</v>
      </c>
      <c r="AR17" s="624"/>
      <c r="AS17" s="624"/>
      <c r="AT17" s="592" t="str">
        <f ca="1">Dizayn!$E$32&amp;" - "&amp;Dizayn!$F$32</f>
        <v>71,6 - 63,6</v>
      </c>
      <c r="AU17" s="592"/>
      <c r="AV17" s="592"/>
      <c r="AW17" s="456" t="str">
        <f ca="1">Dizayn!$C$32&amp;" - "&amp;Dizayn!$D$32</f>
        <v>80 - 58</v>
      </c>
      <c r="AX17" s="456"/>
      <c r="AY17" s="609"/>
      <c r="AZ17" s="172"/>
      <c r="BA17" s="602" t="s">
        <v>275</v>
      </c>
      <c r="BB17" s="602"/>
      <c r="BC17" s="602"/>
      <c r="BD17" s="602"/>
      <c r="BE17" s="602"/>
      <c r="BF17" s="602"/>
      <c r="BG17" s="602"/>
      <c r="BH17" s="602"/>
      <c r="BI17" s="602"/>
      <c r="BJ17" s="602"/>
      <c r="BK17" s="602"/>
      <c r="BL17" s="602"/>
      <c r="BM17" s="614">
        <f>IF(ISNUMBER(BM15),BM12-BM15,"")</f>
        <v>60.199999999999818</v>
      </c>
      <c r="BN17" s="615"/>
      <c r="BO17" s="616"/>
    </row>
    <row r="18" spans="1:67" ht="14.1" customHeight="1" x14ac:dyDescent="0.2">
      <c r="A18" s="580">
        <f>Dizayn!$A$33</f>
        <v>9.5299999999999994</v>
      </c>
      <c r="B18" s="580"/>
      <c r="C18" s="580" t="str">
        <f>Dizayn!$B$33</f>
        <v>3/8"</v>
      </c>
      <c r="D18" s="580"/>
      <c r="E18" s="580"/>
      <c r="F18" s="588">
        <v>490.2</v>
      </c>
      <c r="G18" s="589"/>
      <c r="H18" s="590"/>
      <c r="I18" s="624">
        <f ca="1">IF(AND(A66&lt;=Dizayn!E33,A66&gt;=Dizayn!F33),ROUND(A66,1),ROUND(A66,1)&amp;"X")</f>
        <v>62.6</v>
      </c>
      <c r="J18" s="624"/>
      <c r="K18" s="624"/>
      <c r="L18" s="592" t="str">
        <f ca="1">Dizayn!$E$33&amp;" - "&amp;Dizayn!$F$33</f>
        <v>64,5 - 56,5</v>
      </c>
      <c r="M18" s="592"/>
      <c r="N18" s="592"/>
      <c r="O18" s="456" t="str">
        <f ca="1">Dizayn!$C$33&amp;" - "&amp;Dizayn!$D$33</f>
        <v>70 - 48</v>
      </c>
      <c r="P18" s="456"/>
      <c r="Q18" s="609"/>
      <c r="R18" s="172"/>
      <c r="S18" s="602" t="s">
        <v>277</v>
      </c>
      <c r="T18" s="602"/>
      <c r="U18" s="602"/>
      <c r="V18" s="602"/>
      <c r="W18" s="602"/>
      <c r="X18" s="602"/>
      <c r="Y18" s="602"/>
      <c r="Z18" s="602"/>
      <c r="AA18" s="602"/>
      <c r="AB18" s="602"/>
      <c r="AC18" s="602"/>
      <c r="AD18" s="602"/>
      <c r="AE18" s="597">
        <f>IF(ISNUMBER(AE15),AE15-AE14,"")</f>
        <v>1309.4000000000001</v>
      </c>
      <c r="AF18" s="597"/>
      <c r="AG18" s="597"/>
      <c r="AI18" s="580">
        <f>Dizayn!$A$33</f>
        <v>9.5299999999999994</v>
      </c>
      <c r="AJ18" s="580"/>
      <c r="AK18" s="580" t="str">
        <f>Dizayn!$B$33</f>
        <v>3/8"</v>
      </c>
      <c r="AL18" s="580"/>
      <c r="AM18" s="580"/>
      <c r="AN18" s="588">
        <v>490.2</v>
      </c>
      <c r="AO18" s="589"/>
      <c r="AP18" s="590"/>
      <c r="AQ18" s="624">
        <f ca="1">IF(AND(AI66&lt;=Dizayn!E33,AI66&gt;=Dizayn!F33),ROUND(AI66,1),ROUND(AI66,1)&amp;"X")</f>
        <v>62.6</v>
      </c>
      <c r="AR18" s="624"/>
      <c r="AS18" s="624"/>
      <c r="AT18" s="592" t="str">
        <f ca="1">Dizayn!$E$33&amp;" - "&amp;Dizayn!$F$33</f>
        <v>64,5 - 56,5</v>
      </c>
      <c r="AU18" s="592"/>
      <c r="AV18" s="592"/>
      <c r="AW18" s="456" t="str">
        <f ca="1">Dizayn!$C$33&amp;" - "&amp;Dizayn!$D$33</f>
        <v>70 - 48</v>
      </c>
      <c r="AX18" s="456"/>
      <c r="AY18" s="609"/>
      <c r="AZ18" s="172"/>
      <c r="BA18" s="602" t="s">
        <v>277</v>
      </c>
      <c r="BB18" s="602"/>
      <c r="BC18" s="602"/>
      <c r="BD18" s="602"/>
      <c r="BE18" s="602"/>
      <c r="BF18" s="602"/>
      <c r="BG18" s="602"/>
      <c r="BH18" s="602"/>
      <c r="BI18" s="602"/>
      <c r="BJ18" s="602"/>
      <c r="BK18" s="602"/>
      <c r="BL18" s="602"/>
      <c r="BM18" s="617">
        <f>IF(ISNUMBER(BM15),BM15-BM14,"")</f>
        <v>1309.4000000000001</v>
      </c>
      <c r="BN18" s="618"/>
      <c r="BO18" s="619"/>
    </row>
    <row r="19" spans="1:67" ht="14.1" customHeight="1" x14ac:dyDescent="0.2">
      <c r="A19" s="580">
        <f>Dizayn!$A$34</f>
        <v>4.75</v>
      </c>
      <c r="B19" s="580"/>
      <c r="C19" s="580" t="str">
        <f>Dizayn!$B$34</f>
        <v>No.4</v>
      </c>
      <c r="D19" s="580"/>
      <c r="E19" s="580"/>
      <c r="F19" s="588">
        <v>720.3</v>
      </c>
      <c r="G19" s="589"/>
      <c r="H19" s="590"/>
      <c r="I19" s="624">
        <f ca="1">IF(AND(A67&lt;=Dizayn!E34,A67&gt;=Dizayn!F34),ROUND(A67,1),ROUND(A67,1)&amp;"X")</f>
        <v>45</v>
      </c>
      <c r="J19" s="624"/>
      <c r="K19" s="624"/>
      <c r="L19" s="592" t="str">
        <f ca="1">Dizayn!$E$34&amp;" - "&amp;Dizayn!$F$34</f>
        <v>46,6 - 38,6</v>
      </c>
      <c r="M19" s="592"/>
      <c r="N19" s="592"/>
      <c r="O19" s="456" t="str">
        <f ca="1">Dizayn!$C$34&amp;" - "&amp;Dizayn!$D$34</f>
        <v>52 - 30</v>
      </c>
      <c r="P19" s="456"/>
      <c r="Q19" s="609"/>
      <c r="R19" s="172"/>
      <c r="S19" s="602"/>
      <c r="T19" s="602"/>
      <c r="U19" s="602"/>
      <c r="V19" s="602"/>
      <c r="W19" s="602"/>
      <c r="X19" s="602"/>
      <c r="Y19" s="602"/>
      <c r="Z19" s="602"/>
      <c r="AA19" s="602"/>
      <c r="AB19" s="602"/>
      <c r="AC19" s="602"/>
      <c r="AD19" s="602"/>
      <c r="AE19" s="597"/>
      <c r="AF19" s="597"/>
      <c r="AG19" s="597"/>
      <c r="AI19" s="580">
        <f>Dizayn!$A$34</f>
        <v>4.75</v>
      </c>
      <c r="AJ19" s="580"/>
      <c r="AK19" s="580" t="str">
        <f>Dizayn!$B$34</f>
        <v>No.4</v>
      </c>
      <c r="AL19" s="580"/>
      <c r="AM19" s="580"/>
      <c r="AN19" s="588">
        <v>780</v>
      </c>
      <c r="AO19" s="589"/>
      <c r="AP19" s="590"/>
      <c r="AQ19" s="624">
        <f ca="1">IF(AND(AI67&lt;=Dizayn!E34,AI67&gt;=Dizayn!F34),ROUND(AI67,1),ROUND(AI67,1)&amp;"X")</f>
        <v>40.4</v>
      </c>
      <c r="AR19" s="624"/>
      <c r="AS19" s="624"/>
      <c r="AT19" s="592" t="str">
        <f ca="1">Dizayn!$E$34&amp;" - "&amp;Dizayn!$F$34</f>
        <v>46,6 - 38,6</v>
      </c>
      <c r="AU19" s="592"/>
      <c r="AV19" s="592"/>
      <c r="AW19" s="456" t="str">
        <f ca="1">Dizayn!$C$34&amp;" - "&amp;Dizayn!$D$34</f>
        <v>52 - 30</v>
      </c>
      <c r="AX19" s="456"/>
      <c r="AY19" s="609"/>
      <c r="AZ19" s="172"/>
      <c r="BA19" s="602"/>
      <c r="BB19" s="602"/>
      <c r="BC19" s="602"/>
      <c r="BD19" s="602"/>
      <c r="BE19" s="602"/>
      <c r="BF19" s="602"/>
      <c r="BG19" s="602"/>
      <c r="BH19" s="602"/>
      <c r="BI19" s="602"/>
      <c r="BJ19" s="602"/>
      <c r="BK19" s="602"/>
      <c r="BL19" s="602"/>
      <c r="BM19" s="620"/>
      <c r="BN19" s="621"/>
      <c r="BO19" s="622"/>
    </row>
    <row r="20" spans="1:67" ht="14.1" customHeight="1" x14ac:dyDescent="0.2">
      <c r="A20" s="591">
        <f>Dizayn!$A$35</f>
        <v>2</v>
      </c>
      <c r="B20" s="591"/>
      <c r="C20" s="580" t="str">
        <f>Dizayn!$B$35</f>
        <v>No.10</v>
      </c>
      <c r="D20" s="580"/>
      <c r="E20" s="580"/>
      <c r="F20" s="588">
        <v>919.7</v>
      </c>
      <c r="G20" s="589"/>
      <c r="H20" s="590"/>
      <c r="I20" s="624">
        <f ca="1">IF(AND(A68&lt;=Dizayn!E35,A68&gt;=Dizayn!F35),ROUND(A68,1),ROUND(A68,1)&amp;"X")</f>
        <v>29.8</v>
      </c>
      <c r="J20" s="624"/>
      <c r="K20" s="624"/>
      <c r="L20" s="592" t="str">
        <f ca="1">Dizayn!$E$35&amp;" - "&amp;Dizayn!$F$35</f>
        <v>30,5 - 24,5</v>
      </c>
      <c r="M20" s="592"/>
      <c r="N20" s="592"/>
      <c r="O20" s="456" t="str">
        <f ca="1">Dizayn!$C$35&amp;" - "&amp;Dizayn!$D$35</f>
        <v>40 - 20</v>
      </c>
      <c r="P20" s="456"/>
      <c r="Q20" s="609"/>
      <c r="R20" s="172"/>
      <c r="S20" s="594" t="s">
        <v>403</v>
      </c>
      <c r="T20" s="594"/>
      <c r="U20" s="594"/>
      <c r="V20" s="594"/>
      <c r="W20" s="594"/>
      <c r="X20" s="594"/>
      <c r="Y20" s="594"/>
      <c r="Z20" s="594"/>
      <c r="AA20" s="594"/>
      <c r="AB20" s="594"/>
      <c r="AC20" s="594"/>
      <c r="AD20" s="594"/>
      <c r="AE20" s="603">
        <f ca="1">IFERROR(IF(OR((AE17/AE18)*100&gt;INDIRECT("Dizayn!"&amp;Dizayn!$L$25&amp;41),(AE17/AE18)*100&lt;INDIRECT("Dizayn!"&amp;Dizayn!$M$25&amp;41)),ROUND((AE17/AE18)*100,2)&amp;"X",(AE17/AE18)*100),"")</f>
        <v>4.5975255842370411</v>
      </c>
      <c r="AF20" s="604"/>
      <c r="AG20" s="605"/>
      <c r="AI20" s="591">
        <f>Dizayn!$A$35</f>
        <v>2</v>
      </c>
      <c r="AJ20" s="591"/>
      <c r="AK20" s="580" t="str">
        <f>Dizayn!$B$35</f>
        <v>No.10</v>
      </c>
      <c r="AL20" s="580"/>
      <c r="AM20" s="580"/>
      <c r="AN20" s="588">
        <v>919.7</v>
      </c>
      <c r="AO20" s="589"/>
      <c r="AP20" s="590"/>
      <c r="AQ20" s="624">
        <f ca="1">IF(AND(AI68&lt;=Dizayn!E35,AI68&gt;=Dizayn!F35),ROUND(AI68,1),ROUND(AI68,1)&amp;"X")</f>
        <v>29.8</v>
      </c>
      <c r="AR20" s="624"/>
      <c r="AS20" s="624"/>
      <c r="AT20" s="592" t="str">
        <f ca="1">Dizayn!$E$35&amp;" - "&amp;Dizayn!$F$35</f>
        <v>30,5 - 24,5</v>
      </c>
      <c r="AU20" s="592"/>
      <c r="AV20" s="592"/>
      <c r="AW20" s="456" t="str">
        <f ca="1">Dizayn!$C$35&amp;" - "&amp;Dizayn!$D$35</f>
        <v>40 - 20</v>
      </c>
      <c r="AX20" s="456"/>
      <c r="AY20" s="609"/>
      <c r="AZ20" s="172"/>
      <c r="BA20" s="594" t="s">
        <v>403</v>
      </c>
      <c r="BB20" s="594"/>
      <c r="BC20" s="594"/>
      <c r="BD20" s="594"/>
      <c r="BE20" s="594"/>
      <c r="BF20" s="594"/>
      <c r="BG20" s="594"/>
      <c r="BH20" s="594"/>
      <c r="BI20" s="594"/>
      <c r="BJ20" s="594"/>
      <c r="BK20" s="594"/>
      <c r="BL20" s="594"/>
      <c r="BM20" s="603">
        <f ca="1">IFERROR(IF(OR((BM17/BM18)*100&gt;INDIRECT("Dizayn!"&amp;Dizayn!$L$25&amp;41),(BM17/BM18)*100&lt;INDIRECT("Dizayn!"&amp;Dizayn!$M$25&amp;41)),ROUND((BM17/BM18)*100,2)&amp;"X",(BM17/BM18)*100),"")</f>
        <v>4.5975255842370411</v>
      </c>
      <c r="BN20" s="604"/>
      <c r="BO20" s="605"/>
    </row>
    <row r="21" spans="1:67" ht="14.1" customHeight="1" x14ac:dyDescent="0.2">
      <c r="A21" s="580">
        <f>Dizayn!$A$36</f>
        <v>0.42499999999999999</v>
      </c>
      <c r="B21" s="580"/>
      <c r="C21" s="580" t="str">
        <f>Dizayn!$B$36</f>
        <v>No.40</v>
      </c>
      <c r="D21" s="580"/>
      <c r="E21" s="580"/>
      <c r="F21" s="588">
        <v>1134.0999999999999</v>
      </c>
      <c r="G21" s="589"/>
      <c r="H21" s="590"/>
      <c r="I21" s="624">
        <f ca="1">IF(AND(A69&lt;=Dizayn!E36,A69&gt;=Dizayn!F36),ROUND(A69,1),ROUND(A69,1)&amp;"X")</f>
        <v>13.4</v>
      </c>
      <c r="J21" s="624"/>
      <c r="K21" s="624"/>
      <c r="L21" s="592" t="str">
        <f ca="1">Dizayn!$E$36&amp;" - "&amp;Dizayn!$F$36</f>
        <v>15,9 - 9,9</v>
      </c>
      <c r="M21" s="592"/>
      <c r="N21" s="592"/>
      <c r="O21" s="456" t="str">
        <f ca="1">Dizayn!$C$36&amp;" - "&amp;Dizayn!$D$36</f>
        <v>22 - 8</v>
      </c>
      <c r="P21" s="456"/>
      <c r="Q21" s="609"/>
      <c r="R21" s="172"/>
      <c r="S21" s="594"/>
      <c r="T21" s="594"/>
      <c r="U21" s="594"/>
      <c r="V21" s="594"/>
      <c r="W21" s="594"/>
      <c r="X21" s="594"/>
      <c r="Y21" s="594"/>
      <c r="Z21" s="594"/>
      <c r="AA21" s="594"/>
      <c r="AB21" s="594"/>
      <c r="AC21" s="594"/>
      <c r="AD21" s="594"/>
      <c r="AE21" s="606"/>
      <c r="AF21" s="607"/>
      <c r="AG21" s="608"/>
      <c r="AI21" s="580">
        <f>Dizayn!$A$36</f>
        <v>0.42499999999999999</v>
      </c>
      <c r="AJ21" s="580"/>
      <c r="AK21" s="580" t="str">
        <f>Dizayn!$B$36</f>
        <v>No.40</v>
      </c>
      <c r="AL21" s="580"/>
      <c r="AM21" s="580"/>
      <c r="AN21" s="588">
        <v>1200</v>
      </c>
      <c r="AO21" s="589"/>
      <c r="AP21" s="590"/>
      <c r="AQ21" s="624" t="str">
        <f ca="1">IF(AND(AI69&lt;=Dizayn!E36,AI69&gt;=Dizayn!F36),ROUND(AI69,1),ROUND(AI69,1)&amp;"X")</f>
        <v>8,4X</v>
      </c>
      <c r="AR21" s="624"/>
      <c r="AS21" s="624"/>
      <c r="AT21" s="592" t="str">
        <f ca="1">Dizayn!$E$36&amp;" - "&amp;Dizayn!$F$36</f>
        <v>15,9 - 9,9</v>
      </c>
      <c r="AU21" s="592"/>
      <c r="AV21" s="592"/>
      <c r="AW21" s="456" t="str">
        <f ca="1">Dizayn!$C$36&amp;" - "&amp;Dizayn!$D$36</f>
        <v>22 - 8</v>
      </c>
      <c r="AX21" s="456"/>
      <c r="AY21" s="609"/>
      <c r="AZ21" s="172"/>
      <c r="BA21" s="594"/>
      <c r="BB21" s="594"/>
      <c r="BC21" s="594"/>
      <c r="BD21" s="594"/>
      <c r="BE21" s="594"/>
      <c r="BF21" s="594"/>
      <c r="BG21" s="594"/>
      <c r="BH21" s="594"/>
      <c r="BI21" s="594"/>
      <c r="BJ21" s="594"/>
      <c r="BK21" s="594"/>
      <c r="BL21" s="594"/>
      <c r="BM21" s="606"/>
      <c r="BN21" s="607"/>
      <c r="BO21" s="608"/>
    </row>
    <row r="22" spans="1:67" ht="14.1" customHeight="1" x14ac:dyDescent="0.2">
      <c r="A22" s="580">
        <f>Dizayn!$A$37</f>
        <v>0.18</v>
      </c>
      <c r="B22" s="580"/>
      <c r="C22" s="580" t="str">
        <f>Dizayn!$B$37</f>
        <v>No.80</v>
      </c>
      <c r="D22" s="580"/>
      <c r="E22" s="580"/>
      <c r="F22" s="588">
        <v>1193.2</v>
      </c>
      <c r="G22" s="589"/>
      <c r="H22" s="590"/>
      <c r="I22" s="624">
        <f ca="1">IF(AND(A70&lt;=Dizayn!E37,A70&gt;=Dizayn!F37),ROUND(A70,1),ROUND(A70,1)&amp;"X")</f>
        <v>8.9</v>
      </c>
      <c r="J22" s="624"/>
      <c r="K22" s="624"/>
      <c r="L22" s="592" t="str">
        <f ca="1">Dizayn!$E$37&amp;" - "&amp;Dizayn!$F$37</f>
        <v>11,8 - 5,8</v>
      </c>
      <c r="M22" s="592"/>
      <c r="N22" s="592"/>
      <c r="O22" s="456" t="str">
        <f ca="1">Dizayn!$C$37&amp;" - "&amp;Dizayn!$D$37</f>
        <v>14 - 5</v>
      </c>
      <c r="P22" s="456"/>
      <c r="Q22" s="609"/>
      <c r="R22" s="172"/>
      <c r="S22" s="594" t="s">
        <v>404</v>
      </c>
      <c r="T22" s="594"/>
      <c r="U22" s="594"/>
      <c r="V22" s="594"/>
      <c r="W22" s="594"/>
      <c r="X22" s="594"/>
      <c r="Y22" s="594"/>
      <c r="Z22" s="594"/>
      <c r="AA22" s="594"/>
      <c r="AB22" s="594"/>
      <c r="AC22" s="594"/>
      <c r="AD22" s="594"/>
      <c r="AE22" s="603">
        <f>IFERROR(AE17/(AE12-AE14)*100,"")</f>
        <v>4.3954439252336313</v>
      </c>
      <c r="AF22" s="604"/>
      <c r="AG22" s="605"/>
      <c r="AI22" s="580">
        <f>Dizayn!$A$37</f>
        <v>0.18</v>
      </c>
      <c r="AJ22" s="580"/>
      <c r="AK22" s="580" t="str">
        <f>Dizayn!$B$37</f>
        <v>No.80</v>
      </c>
      <c r="AL22" s="580"/>
      <c r="AM22" s="580"/>
      <c r="AN22" s="588">
        <v>1193.2</v>
      </c>
      <c r="AO22" s="589"/>
      <c r="AP22" s="590"/>
      <c r="AQ22" s="624">
        <f ca="1">IF(AND(AI70&lt;=Dizayn!E37,AI70&gt;=Dizayn!F37),ROUND(AI70,1),ROUND(AI70,1)&amp;"X")</f>
        <v>8.9</v>
      </c>
      <c r="AR22" s="624"/>
      <c r="AS22" s="624"/>
      <c r="AT22" s="592" t="str">
        <f ca="1">Dizayn!$E$37&amp;" - "&amp;Dizayn!$F$37</f>
        <v>11,8 - 5,8</v>
      </c>
      <c r="AU22" s="592"/>
      <c r="AV22" s="592"/>
      <c r="AW22" s="456" t="str">
        <f ca="1">Dizayn!$C$37&amp;" - "&amp;Dizayn!$D$37</f>
        <v>14 - 5</v>
      </c>
      <c r="AX22" s="456"/>
      <c r="AY22" s="609"/>
      <c r="AZ22" s="172"/>
      <c r="BA22" s="594" t="s">
        <v>404</v>
      </c>
      <c r="BB22" s="594"/>
      <c r="BC22" s="594"/>
      <c r="BD22" s="594"/>
      <c r="BE22" s="594"/>
      <c r="BF22" s="594"/>
      <c r="BG22" s="594"/>
      <c r="BH22" s="594"/>
      <c r="BI22" s="594"/>
      <c r="BJ22" s="594"/>
      <c r="BK22" s="594"/>
      <c r="BL22" s="594"/>
      <c r="BM22" s="603">
        <f>IFERROR(BM17/(BM12-BM14)*100,"")</f>
        <v>4.3954439252336313</v>
      </c>
      <c r="BN22" s="604"/>
      <c r="BO22" s="605"/>
    </row>
    <row r="23" spans="1:67" ht="14.1" customHeight="1" x14ac:dyDescent="0.2">
      <c r="A23" s="601">
        <f>Dizayn!$A$38</f>
        <v>7.4999999999999997E-2</v>
      </c>
      <c r="B23" s="601"/>
      <c r="C23" s="580" t="str">
        <f>Dizayn!$B$38</f>
        <v>No.200</v>
      </c>
      <c r="D23" s="580"/>
      <c r="E23" s="580"/>
      <c r="F23" s="588">
        <v>1227.8</v>
      </c>
      <c r="G23" s="589"/>
      <c r="H23" s="590"/>
      <c r="I23" s="624">
        <f ca="1">IF(AND(A71&lt;=Dizayn!E38,A71&gt;=Dizayn!F38),ROUND(A71,1),ROUND(A71,1)&amp;"X")</f>
        <v>6.2</v>
      </c>
      <c r="J23" s="624"/>
      <c r="K23" s="624"/>
      <c r="L23" s="592" t="str">
        <f ca="1">Dizayn!$E$38&amp;" - "&amp;Dizayn!$F$38</f>
        <v>7 - 3,25</v>
      </c>
      <c r="M23" s="592"/>
      <c r="N23" s="592"/>
      <c r="O23" s="456" t="str">
        <f ca="1">Dizayn!$C$38&amp;" - "&amp;Dizayn!$D$38</f>
        <v>7 - 2</v>
      </c>
      <c r="P23" s="456"/>
      <c r="Q23" s="609"/>
      <c r="R23" s="172"/>
      <c r="S23" s="594"/>
      <c r="T23" s="594"/>
      <c r="U23" s="594"/>
      <c r="V23" s="594"/>
      <c r="W23" s="594"/>
      <c r="X23" s="594"/>
      <c r="Y23" s="594"/>
      <c r="Z23" s="594"/>
      <c r="AA23" s="594"/>
      <c r="AB23" s="594"/>
      <c r="AC23" s="594"/>
      <c r="AD23" s="594"/>
      <c r="AE23" s="606"/>
      <c r="AF23" s="607"/>
      <c r="AG23" s="608"/>
      <c r="AI23" s="601">
        <f>Dizayn!$A$38</f>
        <v>7.4999999999999997E-2</v>
      </c>
      <c r="AJ23" s="601"/>
      <c r="AK23" s="580" t="str">
        <f>Dizayn!$B$38</f>
        <v>No.200</v>
      </c>
      <c r="AL23" s="580"/>
      <c r="AM23" s="580"/>
      <c r="AN23" s="588">
        <v>1227.8</v>
      </c>
      <c r="AO23" s="589"/>
      <c r="AP23" s="590"/>
      <c r="AQ23" s="624">
        <f ca="1">IF(AND(AI71&lt;=Dizayn!E38,AI71&gt;=Dizayn!F38),ROUND(AI71,1),ROUND(AI71,1)&amp;"X")</f>
        <v>6.2</v>
      </c>
      <c r="AR23" s="624"/>
      <c r="AS23" s="624"/>
      <c r="AT23" s="592" t="str">
        <f ca="1">Dizayn!$E$38&amp;" - "&amp;Dizayn!$F$38</f>
        <v>7 - 3,25</v>
      </c>
      <c r="AU23" s="592"/>
      <c r="AV23" s="592"/>
      <c r="AW23" s="456" t="str">
        <f ca="1">Dizayn!$C$38&amp;" - "&amp;Dizayn!$D$38</f>
        <v>7 - 2</v>
      </c>
      <c r="AX23" s="456"/>
      <c r="AY23" s="609"/>
      <c r="AZ23" s="172"/>
      <c r="BA23" s="594"/>
      <c r="BB23" s="594"/>
      <c r="BC23" s="594"/>
      <c r="BD23" s="594"/>
      <c r="BE23" s="594"/>
      <c r="BF23" s="594"/>
      <c r="BG23" s="594"/>
      <c r="BH23" s="594"/>
      <c r="BI23" s="594"/>
      <c r="BJ23" s="594"/>
      <c r="BK23" s="594"/>
      <c r="BL23" s="594"/>
      <c r="BM23" s="606"/>
      <c r="BN23" s="607"/>
      <c r="BO23" s="608"/>
    </row>
    <row r="24" spans="1:67" ht="14.1" customHeight="1" x14ac:dyDescent="0.2">
      <c r="A24" s="598" t="s">
        <v>270</v>
      </c>
      <c r="B24" s="599"/>
      <c r="C24" s="599"/>
      <c r="D24" s="599"/>
      <c r="E24" s="600"/>
      <c r="F24" s="588">
        <v>1309.4000000000001</v>
      </c>
      <c r="G24" s="589"/>
      <c r="H24" s="590"/>
      <c r="I24" s="175"/>
      <c r="J24" s="156"/>
      <c r="K24" s="156"/>
      <c r="L24" s="156"/>
      <c r="M24" s="156"/>
      <c r="N24" s="156"/>
      <c r="O24" s="156"/>
      <c r="P24" s="156"/>
      <c r="Q24" s="176"/>
      <c r="R24" s="173"/>
      <c r="S24" s="595" t="s">
        <v>85</v>
      </c>
      <c r="T24" s="595"/>
      <c r="U24" s="595"/>
      <c r="V24" s="595"/>
      <c r="W24" s="595"/>
      <c r="X24" s="595"/>
      <c r="Y24" s="595"/>
      <c r="Z24" s="595"/>
      <c r="AA24" s="595"/>
      <c r="AB24" s="595"/>
      <c r="AC24" s="595"/>
      <c r="AD24" s="595"/>
      <c r="AE24" s="593" t="str">
        <f ca="1">IFERROR(#REF!/AE20,"")</f>
        <v/>
      </c>
      <c r="AF24" s="593"/>
      <c r="AG24" s="593"/>
      <c r="AI24" s="598" t="s">
        <v>270</v>
      </c>
      <c r="AJ24" s="599"/>
      <c r="AK24" s="599"/>
      <c r="AL24" s="599"/>
      <c r="AM24" s="600"/>
      <c r="AN24" s="588">
        <v>1309.4000000000001</v>
      </c>
      <c r="AO24" s="589"/>
      <c r="AP24" s="590"/>
      <c r="AQ24" s="175"/>
      <c r="AR24" s="156"/>
      <c r="AS24" s="156"/>
      <c r="AT24" s="156"/>
      <c r="AU24" s="156"/>
      <c r="AV24" s="156"/>
      <c r="AW24" s="156"/>
      <c r="AX24" s="156"/>
      <c r="AY24" s="176"/>
      <c r="AZ24" s="173"/>
      <c r="BA24" s="595" t="s">
        <v>85</v>
      </c>
      <c r="BB24" s="595"/>
      <c r="BC24" s="595"/>
      <c r="BD24" s="595"/>
      <c r="BE24" s="595"/>
      <c r="BF24" s="595"/>
      <c r="BG24" s="595"/>
      <c r="BH24" s="595"/>
      <c r="BI24" s="595"/>
      <c r="BJ24" s="595"/>
      <c r="BK24" s="595"/>
      <c r="BL24" s="595"/>
      <c r="BM24" s="593">
        <f ca="1">IFERROR(AQ23/BM20,"")</f>
        <v>1.3485514950166155</v>
      </c>
      <c r="BN24" s="593"/>
      <c r="BO24" s="593"/>
    </row>
    <row r="25" spans="1:67" ht="14.1" customHeight="1" x14ac:dyDescent="0.2">
      <c r="A25" s="160"/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7"/>
      <c r="AH25" s="3"/>
      <c r="AI25" s="160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  <c r="BA25" s="156"/>
      <c r="BB25" s="156"/>
      <c r="BC25" s="156"/>
      <c r="BD25" s="156"/>
      <c r="BE25" s="156"/>
      <c r="BF25" s="156"/>
      <c r="BG25" s="156"/>
      <c r="BH25" s="156"/>
      <c r="BI25" s="156"/>
      <c r="BJ25" s="156"/>
      <c r="BK25" s="156"/>
      <c r="BL25" s="156"/>
      <c r="BM25" s="156"/>
      <c r="BN25" s="156"/>
      <c r="BO25" s="157"/>
    </row>
    <row r="26" spans="1:67" ht="14.1" customHeight="1" x14ac:dyDescent="0.2">
      <c r="A26" s="585"/>
      <c r="B26" s="586"/>
      <c r="C26" s="586"/>
      <c r="D26" s="586"/>
      <c r="E26" s="586"/>
      <c r="F26" s="161"/>
      <c r="G26" s="586"/>
      <c r="H26" s="586"/>
      <c r="I26" s="586"/>
      <c r="J26" s="586"/>
      <c r="K26" s="586"/>
      <c r="L26" s="586"/>
      <c r="M26" s="28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8"/>
      <c r="AH26" s="3"/>
      <c r="AI26" s="585"/>
      <c r="AJ26" s="586"/>
      <c r="AK26" s="586"/>
      <c r="AL26" s="586"/>
      <c r="AM26" s="586"/>
      <c r="AN26" s="161"/>
      <c r="AO26" s="586"/>
      <c r="AP26" s="586"/>
      <c r="AQ26" s="586"/>
      <c r="AR26" s="586"/>
      <c r="AS26" s="586"/>
      <c r="AT26" s="586"/>
      <c r="AU26" s="285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8"/>
    </row>
    <row r="27" spans="1:67" ht="14.1" customHeight="1" x14ac:dyDescent="0.2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8"/>
      <c r="AH27" s="3"/>
      <c r="AI27" s="7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8"/>
    </row>
    <row r="28" spans="1:67" ht="14.1" customHeight="1" x14ac:dyDescent="0.2">
      <c r="A28" s="7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8"/>
      <c r="AH28" s="3"/>
      <c r="AI28" s="7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8"/>
    </row>
    <row r="29" spans="1:67" ht="14.1" customHeight="1" x14ac:dyDescent="0.2">
      <c r="A29" s="7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8"/>
      <c r="AH29" s="3"/>
      <c r="AI29" s="7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8"/>
    </row>
    <row r="30" spans="1:67" ht="14.1" customHeight="1" x14ac:dyDescent="0.2">
      <c r="A30" s="7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8"/>
      <c r="AH30" s="3"/>
      <c r="AI30" s="7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8"/>
    </row>
    <row r="31" spans="1:67" ht="14.1" customHeight="1" x14ac:dyDescent="0.2">
      <c r="A31" s="7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8"/>
      <c r="AH31" s="3"/>
      <c r="AI31" s="7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8"/>
    </row>
    <row r="32" spans="1:67" ht="14.1" customHeight="1" x14ac:dyDescent="0.2">
      <c r="A32" s="7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8"/>
      <c r="AH32" s="3"/>
      <c r="AI32" s="7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8"/>
    </row>
    <row r="33" spans="1:67" ht="14.1" customHeight="1" x14ac:dyDescent="0.2">
      <c r="A33" s="7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8"/>
      <c r="AH33" s="3"/>
      <c r="AI33" s="7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8"/>
    </row>
    <row r="34" spans="1:67" ht="14.1" customHeight="1" x14ac:dyDescent="0.2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8"/>
      <c r="AH34" s="3"/>
      <c r="AI34" s="7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8"/>
    </row>
    <row r="35" spans="1:67" ht="14.1" customHeight="1" x14ac:dyDescent="0.2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8"/>
      <c r="AH35" s="3"/>
      <c r="AI35" s="7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8"/>
    </row>
    <row r="36" spans="1:67" ht="14.1" customHeight="1" x14ac:dyDescent="0.2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8"/>
      <c r="AH36" s="3"/>
      <c r="AI36" s="7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8"/>
    </row>
    <row r="37" spans="1:67" ht="14.1" customHeight="1" x14ac:dyDescent="0.2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8"/>
      <c r="AH37" s="3"/>
      <c r="AI37" s="7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8"/>
    </row>
    <row r="38" spans="1:67" ht="14.1" customHeight="1" x14ac:dyDescent="0.2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8"/>
      <c r="AH38" s="3"/>
      <c r="AI38" s="7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8"/>
    </row>
    <row r="39" spans="1:67" ht="14.1" customHeight="1" x14ac:dyDescent="0.2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8"/>
      <c r="AH39" s="3"/>
      <c r="AI39" s="7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8"/>
    </row>
    <row r="40" spans="1:67" ht="14.1" customHeight="1" x14ac:dyDescent="0.2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8"/>
      <c r="AH40" s="3"/>
      <c r="AI40" s="7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8"/>
    </row>
    <row r="41" spans="1:67" ht="14.1" customHeight="1" x14ac:dyDescent="0.2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8"/>
      <c r="AH41" s="3"/>
      <c r="AI41" s="7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8"/>
    </row>
    <row r="42" spans="1:67" ht="14.1" customHeight="1" x14ac:dyDescent="0.2">
      <c r="A42" s="7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8"/>
      <c r="AH42" s="3"/>
      <c r="AI42" s="7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8"/>
    </row>
    <row r="43" spans="1:67" ht="14.1" customHeight="1" x14ac:dyDescent="0.2">
      <c r="A43" s="7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8"/>
      <c r="AH43" s="3"/>
      <c r="AI43" s="7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8"/>
    </row>
    <row r="44" spans="1:67" ht="14.1" customHeight="1" x14ac:dyDescent="0.2">
      <c r="A44" s="7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8"/>
      <c r="AH44" s="3"/>
      <c r="AI44" s="7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8"/>
    </row>
    <row r="45" spans="1:67" ht="14.1" customHeight="1" x14ac:dyDescent="0.2">
      <c r="A45" s="7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8"/>
      <c r="AH45" s="3"/>
      <c r="AI45" s="7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8"/>
    </row>
    <row r="46" spans="1:67" ht="14.1" customHeight="1" x14ac:dyDescent="0.2">
      <c r="A46" s="7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8"/>
      <c r="AH46" s="3"/>
      <c r="AI46" s="7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8"/>
    </row>
    <row r="47" spans="1:67" ht="14.1" customHeight="1" x14ac:dyDescent="0.2">
      <c r="A47" s="7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8"/>
      <c r="AH47" s="3"/>
      <c r="AI47" s="7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8"/>
    </row>
    <row r="48" spans="1:67" ht="14.1" customHeight="1" x14ac:dyDescent="0.2">
      <c r="A48" s="7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8"/>
      <c r="AH48" s="3"/>
      <c r="AI48" s="7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8"/>
    </row>
    <row r="49" spans="1:68" ht="14.1" customHeight="1" x14ac:dyDescent="0.2">
      <c r="A49" s="7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8"/>
      <c r="AH49" s="3"/>
      <c r="AI49" s="7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8"/>
    </row>
    <row r="50" spans="1:68" ht="14.1" customHeight="1" x14ac:dyDescent="0.2">
      <c r="A50" s="7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8"/>
      <c r="AH50" s="3"/>
      <c r="AI50" s="7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8"/>
    </row>
    <row r="51" spans="1:68" ht="14.1" customHeight="1" x14ac:dyDescent="0.2">
      <c r="A51" s="7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8"/>
      <c r="AH51" s="3"/>
      <c r="AI51" s="7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8"/>
    </row>
    <row r="52" spans="1:68" ht="14.1" customHeight="1" x14ac:dyDescent="0.2">
      <c r="A52" s="7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8"/>
      <c r="AH52" s="3"/>
      <c r="AI52" s="7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8"/>
    </row>
    <row r="53" spans="1:68" ht="14.1" customHeight="1" x14ac:dyDescent="0.2">
      <c r="A53" s="7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8"/>
      <c r="AH53" s="3"/>
      <c r="AI53" s="7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8"/>
    </row>
    <row r="54" spans="1:68" ht="14.1" customHeight="1" x14ac:dyDescent="0.2">
      <c r="A54" s="7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8"/>
      <c r="AH54" s="3"/>
      <c r="AI54" s="7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8"/>
    </row>
    <row r="55" spans="1:68" ht="14.1" customHeight="1" x14ac:dyDescent="0.2">
      <c r="A55" s="7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8"/>
      <c r="AH55" s="3"/>
      <c r="AI55" s="7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8"/>
    </row>
    <row r="56" spans="1:68" ht="14.1" customHeight="1" x14ac:dyDescent="0.2">
      <c r="A56" s="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8"/>
      <c r="AH56" s="3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8"/>
    </row>
    <row r="57" spans="1:68" ht="14.1" customHeight="1" x14ac:dyDescent="0.2">
      <c r="A57" s="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8"/>
      <c r="AH57" s="3"/>
      <c r="AI57" s="7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8"/>
    </row>
    <row r="58" spans="1:68" ht="14.1" customHeight="1" x14ac:dyDescent="0.2">
      <c r="A58" s="162"/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9"/>
      <c r="AH58" s="3"/>
      <c r="AI58" s="162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  <c r="BJ58" s="158"/>
      <c r="BK58" s="158"/>
      <c r="BL58" s="158"/>
      <c r="BM58" s="158"/>
      <c r="BN58" s="158"/>
      <c r="BO58" s="159"/>
    </row>
    <row r="59" spans="1:68" ht="14.1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</row>
    <row r="60" spans="1:68" ht="14.1" customHeight="1" x14ac:dyDescent="0.2">
      <c r="A60" s="627" t="s">
        <v>81</v>
      </c>
      <c r="B60" s="627"/>
      <c r="C60" s="627"/>
      <c r="D60" s="625" t="s">
        <v>271</v>
      </c>
      <c r="E60" s="625"/>
      <c r="F60" s="625"/>
      <c r="G60" s="625"/>
      <c r="H60" s="625"/>
      <c r="I60" s="371"/>
      <c r="J60" s="371"/>
      <c r="K60" s="371"/>
      <c r="L60" s="371"/>
      <c r="M60" s="371"/>
      <c r="N60" s="371"/>
      <c r="O60" s="371"/>
      <c r="P60" s="371"/>
      <c r="Q60" s="371"/>
      <c r="R60" s="371"/>
      <c r="S60" s="371"/>
      <c r="T60" s="371"/>
      <c r="U60" s="371"/>
      <c r="V60" s="371"/>
      <c r="W60" s="371"/>
      <c r="X60" s="371"/>
      <c r="Y60" s="371"/>
      <c r="Z60" s="371"/>
      <c r="AA60" s="371"/>
      <c r="AB60" s="371"/>
      <c r="AC60" s="371"/>
      <c r="AD60" s="371"/>
      <c r="AE60" s="371"/>
      <c r="AF60" s="371"/>
      <c r="AG60" s="371"/>
      <c r="AH60" s="371"/>
      <c r="AI60" s="627" t="s">
        <v>81</v>
      </c>
      <c r="AJ60" s="627"/>
      <c r="AK60" s="627"/>
      <c r="AL60" s="625" t="s">
        <v>271</v>
      </c>
      <c r="AM60" s="625"/>
      <c r="AN60" s="625"/>
      <c r="AO60" s="625"/>
      <c r="AP60" s="625"/>
      <c r="AQ60" s="371"/>
      <c r="AR60" s="371"/>
      <c r="AS60" s="371"/>
      <c r="AT60" s="371"/>
      <c r="AU60" s="371"/>
      <c r="AV60" s="371"/>
      <c r="AW60" s="371"/>
      <c r="AX60" s="371"/>
      <c r="AY60" s="371"/>
      <c r="AZ60" s="371"/>
      <c r="BA60" s="371"/>
      <c r="BB60" s="371"/>
      <c r="BC60" s="371"/>
      <c r="BD60" s="371"/>
      <c r="BE60" s="371"/>
      <c r="BF60" s="371"/>
      <c r="BG60" s="371"/>
      <c r="BH60" s="371"/>
      <c r="BI60" s="371"/>
      <c r="BJ60" s="371"/>
      <c r="BK60" s="371"/>
      <c r="BL60" s="371"/>
      <c r="BM60" s="371"/>
      <c r="BN60" s="371"/>
      <c r="BO60" s="371"/>
      <c r="BP60" s="372"/>
    </row>
    <row r="61" spans="1:68" ht="14.1" customHeight="1" x14ac:dyDescent="0.2">
      <c r="A61" s="627"/>
      <c r="B61" s="627"/>
      <c r="C61" s="627"/>
      <c r="D61" s="487" t="s">
        <v>73</v>
      </c>
      <c r="E61" s="487"/>
      <c r="F61" s="487" t="s">
        <v>74</v>
      </c>
      <c r="G61" s="487"/>
      <c r="H61" s="487"/>
      <c r="I61" s="371"/>
      <c r="J61" s="371"/>
      <c r="K61" s="371"/>
      <c r="L61" s="371"/>
      <c r="M61" s="371"/>
      <c r="N61" s="371"/>
      <c r="O61" s="371"/>
      <c r="P61" s="371"/>
      <c r="Q61" s="371"/>
      <c r="R61" s="371"/>
      <c r="S61" s="371"/>
      <c r="T61" s="371"/>
      <c r="U61" s="371"/>
      <c r="V61" s="371"/>
      <c r="W61" s="371"/>
      <c r="X61" s="371"/>
      <c r="Y61" s="371"/>
      <c r="Z61" s="371"/>
      <c r="AA61" s="371"/>
      <c r="AB61" s="371"/>
      <c r="AC61" s="371"/>
      <c r="AD61" s="371"/>
      <c r="AE61" s="371"/>
      <c r="AF61" s="371"/>
      <c r="AG61" s="371"/>
      <c r="AH61" s="371"/>
      <c r="AI61" s="627"/>
      <c r="AJ61" s="627"/>
      <c r="AK61" s="627"/>
      <c r="AL61" s="487" t="s">
        <v>73</v>
      </c>
      <c r="AM61" s="487"/>
      <c r="AN61" s="487" t="s">
        <v>74</v>
      </c>
      <c r="AO61" s="487"/>
      <c r="AP61" s="487"/>
      <c r="AQ61" s="371"/>
      <c r="AR61" s="371"/>
      <c r="AS61" s="371"/>
      <c r="AT61" s="371"/>
      <c r="AU61" s="371"/>
      <c r="AV61" s="371"/>
      <c r="AW61" s="371"/>
      <c r="AX61" s="371"/>
      <c r="AY61" s="371"/>
      <c r="AZ61" s="371"/>
      <c r="BA61" s="371"/>
      <c r="BB61" s="371"/>
      <c r="BC61" s="371"/>
      <c r="BD61" s="371"/>
      <c r="BE61" s="371"/>
      <c r="BF61" s="371"/>
      <c r="BG61" s="371"/>
      <c r="BH61" s="371"/>
      <c r="BI61" s="371"/>
      <c r="BJ61" s="371"/>
      <c r="BK61" s="371"/>
      <c r="BL61" s="371"/>
      <c r="BM61" s="371"/>
      <c r="BN61" s="371"/>
      <c r="BO61" s="371"/>
      <c r="BP61" s="372"/>
    </row>
    <row r="62" spans="1:68" ht="14.1" customHeight="1" x14ac:dyDescent="0.2">
      <c r="A62" s="583">
        <f t="shared" ref="A62:A71" si="0">IFERROR(100-(F14/$F$24*100),0)</f>
        <v>100</v>
      </c>
      <c r="B62" s="583"/>
      <c r="C62" s="583"/>
      <c r="D62" s="487">
        <f>Dizayn!$A$29</f>
        <v>38.099999999999994</v>
      </c>
      <c r="E62" s="487"/>
      <c r="F62" s="487" t="str">
        <f>Dizayn!$B$29</f>
        <v>1 1/2"</v>
      </c>
      <c r="G62" s="487"/>
      <c r="H62" s="487"/>
      <c r="I62" s="371"/>
      <c r="J62" s="371"/>
      <c r="K62" s="371"/>
      <c r="L62" s="371"/>
      <c r="M62" s="371"/>
      <c r="N62" s="371"/>
      <c r="O62" s="371"/>
      <c r="P62" s="371"/>
      <c r="Q62" s="371"/>
      <c r="R62" s="371"/>
      <c r="S62" s="371"/>
      <c r="T62" s="371"/>
      <c r="U62" s="371"/>
      <c r="V62" s="371"/>
      <c r="W62" s="371"/>
      <c r="X62" s="371"/>
      <c r="Y62" s="371"/>
      <c r="Z62" s="371"/>
      <c r="AA62" s="371"/>
      <c r="AB62" s="371"/>
      <c r="AC62" s="371"/>
      <c r="AD62" s="371"/>
      <c r="AE62" s="371"/>
      <c r="AF62" s="371"/>
      <c r="AG62" s="371"/>
      <c r="AH62" s="371"/>
      <c r="AI62" s="583">
        <f>IFERROR(100-(AN14/$AN$24*100),0)</f>
        <v>100</v>
      </c>
      <c r="AJ62" s="583"/>
      <c r="AK62" s="583"/>
      <c r="AL62" s="487">
        <f>Dizayn!$A$29</f>
        <v>38.099999999999994</v>
      </c>
      <c r="AM62" s="487"/>
      <c r="AN62" s="487" t="str">
        <f>Dizayn!$B$29</f>
        <v>1 1/2"</v>
      </c>
      <c r="AO62" s="487"/>
      <c r="AP62" s="487"/>
      <c r="AQ62" s="371"/>
      <c r="AR62" s="371"/>
      <c r="AS62" s="371"/>
      <c r="AT62" s="371"/>
      <c r="AU62" s="371"/>
      <c r="AV62" s="371"/>
      <c r="AW62" s="371"/>
      <c r="AX62" s="371"/>
      <c r="AY62" s="371"/>
      <c r="AZ62" s="371"/>
      <c r="BA62" s="371"/>
      <c r="BB62" s="371"/>
      <c r="BC62" s="371"/>
      <c r="BD62" s="371"/>
      <c r="BE62" s="371"/>
      <c r="BF62" s="371"/>
      <c r="BG62" s="371"/>
      <c r="BH62" s="371"/>
      <c r="BI62" s="371"/>
      <c r="BJ62" s="371"/>
      <c r="BK62" s="371"/>
      <c r="BL62" s="371"/>
      <c r="BM62" s="371"/>
      <c r="BN62" s="371"/>
      <c r="BO62" s="371"/>
      <c r="BP62" s="372"/>
    </row>
    <row r="63" spans="1:68" ht="14.1" customHeight="1" x14ac:dyDescent="0.2">
      <c r="A63" s="583">
        <f t="shared" si="0"/>
        <v>100</v>
      </c>
      <c r="B63" s="583"/>
      <c r="C63" s="583"/>
      <c r="D63" s="487">
        <f>Dizayn!$A$30</f>
        <v>25.4</v>
      </c>
      <c r="E63" s="487"/>
      <c r="F63" s="487" t="str">
        <f>Dizayn!$B$30</f>
        <v>1"</v>
      </c>
      <c r="G63" s="487"/>
      <c r="H63" s="487"/>
      <c r="I63" s="371"/>
      <c r="J63" s="371"/>
      <c r="K63" s="371"/>
      <c r="L63" s="371"/>
      <c r="M63" s="371"/>
      <c r="N63" s="371"/>
      <c r="O63" s="371"/>
      <c r="P63" s="371"/>
      <c r="Q63" s="371"/>
      <c r="R63" s="371"/>
      <c r="S63" s="371"/>
      <c r="T63" s="371"/>
      <c r="U63" s="371"/>
      <c r="V63" s="371"/>
      <c r="W63" s="371"/>
      <c r="X63" s="371"/>
      <c r="Y63" s="371"/>
      <c r="Z63" s="371"/>
      <c r="AA63" s="371"/>
      <c r="AB63" s="371"/>
      <c r="AC63" s="371"/>
      <c r="AD63" s="371"/>
      <c r="AE63" s="371"/>
      <c r="AF63" s="371"/>
      <c r="AG63" s="371"/>
      <c r="AH63" s="371"/>
      <c r="AI63" s="583">
        <f t="shared" ref="AI63:AI71" si="1">IFERROR(100-(AN15/$AN$24*100),0)</f>
        <v>100</v>
      </c>
      <c r="AJ63" s="583"/>
      <c r="AK63" s="583"/>
      <c r="AL63" s="487">
        <f>Dizayn!$A$30</f>
        <v>25.4</v>
      </c>
      <c r="AM63" s="487"/>
      <c r="AN63" s="487" t="str">
        <f>Dizayn!$B$30</f>
        <v>1"</v>
      </c>
      <c r="AO63" s="487"/>
      <c r="AP63" s="487"/>
      <c r="AQ63" s="371"/>
      <c r="AR63" s="371"/>
      <c r="AS63" s="371"/>
      <c r="AT63" s="371"/>
      <c r="AU63" s="371"/>
      <c r="AV63" s="371"/>
      <c r="AW63" s="371"/>
      <c r="AX63" s="371"/>
      <c r="AY63" s="371"/>
      <c r="AZ63" s="371"/>
      <c r="BA63" s="371"/>
      <c r="BB63" s="371"/>
      <c r="BC63" s="371"/>
      <c r="BD63" s="371"/>
      <c r="BE63" s="371"/>
      <c r="BF63" s="371"/>
      <c r="BG63" s="371"/>
      <c r="BH63" s="371"/>
      <c r="BI63" s="371"/>
      <c r="BJ63" s="371"/>
      <c r="BK63" s="371"/>
      <c r="BL63" s="371"/>
      <c r="BM63" s="371"/>
      <c r="BN63" s="371"/>
      <c r="BO63" s="371"/>
      <c r="BP63" s="372"/>
    </row>
    <row r="64" spans="1:68" ht="14.1" customHeight="1" x14ac:dyDescent="0.2">
      <c r="A64" s="583">
        <f t="shared" si="0"/>
        <v>91.97342294180541</v>
      </c>
      <c r="B64" s="583"/>
      <c r="C64" s="583"/>
      <c r="D64" s="487">
        <f>Dizayn!$A$31</f>
        <v>19.100000000000001</v>
      </c>
      <c r="E64" s="487"/>
      <c r="F64" s="487" t="str">
        <f>Dizayn!$B$31</f>
        <v>3/4"</v>
      </c>
      <c r="G64" s="487"/>
      <c r="H64" s="487"/>
      <c r="I64" s="371"/>
      <c r="J64" s="371"/>
      <c r="K64" s="371"/>
      <c r="L64" s="371"/>
      <c r="M64" s="371"/>
      <c r="N64" s="371"/>
      <c r="O64" s="371"/>
      <c r="P64" s="371"/>
      <c r="Q64" s="371"/>
      <c r="R64" s="371"/>
      <c r="S64" s="371"/>
      <c r="T64" s="371"/>
      <c r="U64" s="371"/>
      <c r="V64" s="371"/>
      <c r="W64" s="371"/>
      <c r="X64" s="371"/>
      <c r="Y64" s="371"/>
      <c r="Z64" s="371"/>
      <c r="AA64" s="371"/>
      <c r="AB64" s="371"/>
      <c r="AC64" s="371"/>
      <c r="AD64" s="371"/>
      <c r="AE64" s="371"/>
      <c r="AF64" s="371"/>
      <c r="AG64" s="371"/>
      <c r="AH64" s="371"/>
      <c r="AI64" s="583">
        <f t="shared" si="1"/>
        <v>91.97342294180541</v>
      </c>
      <c r="AJ64" s="583"/>
      <c r="AK64" s="583"/>
      <c r="AL64" s="487">
        <f>Dizayn!$A$31</f>
        <v>19.100000000000001</v>
      </c>
      <c r="AM64" s="487"/>
      <c r="AN64" s="487" t="str">
        <f>Dizayn!$B$31</f>
        <v>3/4"</v>
      </c>
      <c r="AO64" s="487"/>
      <c r="AP64" s="487"/>
      <c r="AQ64" s="371"/>
      <c r="AR64" s="371"/>
      <c r="AS64" s="371"/>
      <c r="AT64" s="371"/>
      <c r="AU64" s="371"/>
      <c r="AV64" s="371"/>
      <c r="AW64" s="371"/>
      <c r="AX64" s="371"/>
      <c r="AY64" s="371"/>
      <c r="AZ64" s="371"/>
      <c r="BA64" s="371"/>
      <c r="BB64" s="371"/>
      <c r="BC64" s="371"/>
      <c r="BD64" s="371"/>
      <c r="BE64" s="371"/>
      <c r="BF64" s="371"/>
      <c r="BG64" s="371"/>
      <c r="BH64" s="371"/>
      <c r="BI64" s="371"/>
      <c r="BJ64" s="371"/>
      <c r="BK64" s="371"/>
      <c r="BL64" s="371"/>
      <c r="BM64" s="371"/>
      <c r="BN64" s="371"/>
      <c r="BO64" s="371"/>
      <c r="BP64" s="372"/>
    </row>
    <row r="65" spans="1:68" ht="14.1" customHeight="1" x14ac:dyDescent="0.2">
      <c r="A65" s="583">
        <f t="shared" si="0"/>
        <v>68.596303650526963</v>
      </c>
      <c r="B65" s="583"/>
      <c r="C65" s="583"/>
      <c r="D65" s="487">
        <f>Dizayn!$A$32</f>
        <v>12.7</v>
      </c>
      <c r="E65" s="487"/>
      <c r="F65" s="487" t="str">
        <f>Dizayn!$B$32</f>
        <v>1/2"</v>
      </c>
      <c r="G65" s="487"/>
      <c r="H65" s="487"/>
      <c r="I65" s="371"/>
      <c r="J65" s="371"/>
      <c r="K65" s="371"/>
      <c r="L65" s="371"/>
      <c r="M65" s="371"/>
      <c r="N65" s="371"/>
      <c r="O65" s="371"/>
      <c r="P65" s="371"/>
      <c r="Q65" s="371"/>
      <c r="R65" s="371"/>
      <c r="S65" s="371"/>
      <c r="T65" s="371"/>
      <c r="U65" s="371"/>
      <c r="V65" s="371"/>
      <c r="W65" s="371"/>
      <c r="X65" s="371"/>
      <c r="Y65" s="371"/>
      <c r="Z65" s="371"/>
      <c r="AA65" s="371"/>
      <c r="AB65" s="371"/>
      <c r="AC65" s="371"/>
      <c r="AD65" s="371"/>
      <c r="AE65" s="371"/>
      <c r="AF65" s="371"/>
      <c r="AG65" s="371"/>
      <c r="AH65" s="371"/>
      <c r="AI65" s="583">
        <f t="shared" si="1"/>
        <v>67.924240109974036</v>
      </c>
      <c r="AJ65" s="583"/>
      <c r="AK65" s="583"/>
      <c r="AL65" s="487">
        <f>Dizayn!$A$32</f>
        <v>12.7</v>
      </c>
      <c r="AM65" s="487"/>
      <c r="AN65" s="487" t="str">
        <f>Dizayn!$B$32</f>
        <v>1/2"</v>
      </c>
      <c r="AO65" s="487"/>
      <c r="AP65" s="487"/>
      <c r="AQ65" s="371"/>
      <c r="AR65" s="371"/>
      <c r="AS65" s="371"/>
      <c r="AT65" s="371"/>
      <c r="AU65" s="371"/>
      <c r="AV65" s="371"/>
      <c r="AW65" s="371"/>
      <c r="AX65" s="371"/>
      <c r="AY65" s="371"/>
      <c r="AZ65" s="371"/>
      <c r="BA65" s="371"/>
      <c r="BB65" s="371"/>
      <c r="BC65" s="371"/>
      <c r="BD65" s="371"/>
      <c r="BE65" s="371"/>
      <c r="BF65" s="371"/>
      <c r="BG65" s="371"/>
      <c r="BH65" s="371"/>
      <c r="BI65" s="371"/>
      <c r="BJ65" s="371"/>
      <c r="BK65" s="371"/>
      <c r="BL65" s="371"/>
      <c r="BM65" s="371"/>
      <c r="BN65" s="371"/>
      <c r="BO65" s="371"/>
      <c r="BP65" s="372"/>
    </row>
    <row r="66" spans="1:68" ht="14.1" customHeight="1" x14ac:dyDescent="0.2">
      <c r="A66" s="583">
        <f t="shared" si="0"/>
        <v>62.563005956926844</v>
      </c>
      <c r="B66" s="583"/>
      <c r="C66" s="583"/>
      <c r="D66" s="487">
        <f>Dizayn!$A$33</f>
        <v>9.5299999999999994</v>
      </c>
      <c r="E66" s="487"/>
      <c r="F66" s="487" t="str">
        <f>Dizayn!$B$33</f>
        <v>3/8"</v>
      </c>
      <c r="G66" s="487"/>
      <c r="H66" s="487"/>
      <c r="I66" s="371"/>
      <c r="J66" s="371"/>
      <c r="K66" s="371"/>
      <c r="L66" s="371"/>
      <c r="M66" s="371"/>
      <c r="N66" s="371"/>
      <c r="O66" s="371"/>
      <c r="P66" s="371"/>
      <c r="Q66" s="371"/>
      <c r="R66" s="371"/>
      <c r="S66" s="371"/>
      <c r="T66" s="371"/>
      <c r="U66" s="371"/>
      <c r="V66" s="371"/>
      <c r="W66" s="371"/>
      <c r="X66" s="371"/>
      <c r="Y66" s="371"/>
      <c r="Z66" s="371"/>
      <c r="AA66" s="371"/>
      <c r="AB66" s="371"/>
      <c r="AC66" s="371"/>
      <c r="AD66" s="371"/>
      <c r="AE66" s="371"/>
      <c r="AF66" s="371"/>
      <c r="AG66" s="371"/>
      <c r="AH66" s="371"/>
      <c r="AI66" s="583">
        <f t="shared" si="1"/>
        <v>62.563005956926844</v>
      </c>
      <c r="AJ66" s="583"/>
      <c r="AK66" s="583"/>
      <c r="AL66" s="487">
        <f>Dizayn!$A$33</f>
        <v>9.5299999999999994</v>
      </c>
      <c r="AM66" s="487"/>
      <c r="AN66" s="487" t="str">
        <f>Dizayn!$B$33</f>
        <v>3/8"</v>
      </c>
      <c r="AO66" s="487"/>
      <c r="AP66" s="487"/>
      <c r="AQ66" s="371"/>
      <c r="AR66" s="371"/>
      <c r="AS66" s="371"/>
      <c r="AT66" s="371"/>
      <c r="AU66" s="371"/>
      <c r="AV66" s="371"/>
      <c r="AW66" s="371"/>
      <c r="AX66" s="371"/>
      <c r="AY66" s="371"/>
      <c r="AZ66" s="371"/>
      <c r="BA66" s="371"/>
      <c r="BB66" s="371"/>
      <c r="BC66" s="371"/>
      <c r="BD66" s="371"/>
      <c r="BE66" s="371"/>
      <c r="BF66" s="371"/>
      <c r="BG66" s="371"/>
      <c r="BH66" s="371"/>
      <c r="BI66" s="371"/>
      <c r="BJ66" s="371"/>
      <c r="BK66" s="371"/>
      <c r="BL66" s="371"/>
      <c r="BM66" s="371"/>
      <c r="BN66" s="371"/>
      <c r="BO66" s="371"/>
      <c r="BP66" s="372"/>
    </row>
    <row r="67" spans="1:68" ht="14.1" customHeight="1" x14ac:dyDescent="0.2">
      <c r="A67" s="583">
        <f t="shared" si="0"/>
        <v>44.990071788605476</v>
      </c>
      <c r="B67" s="583"/>
      <c r="C67" s="583"/>
      <c r="D67" s="487">
        <f>Dizayn!$A$34</f>
        <v>4.75</v>
      </c>
      <c r="E67" s="487"/>
      <c r="F67" s="487" t="str">
        <f>Dizayn!$B$34</f>
        <v>No.4</v>
      </c>
      <c r="G67" s="487"/>
      <c r="H67" s="487"/>
      <c r="I67" s="371"/>
      <c r="J67" s="371"/>
      <c r="K67" s="371"/>
      <c r="L67" s="371"/>
      <c r="M67" s="371"/>
      <c r="N67" s="371"/>
      <c r="O67" s="371"/>
      <c r="P67" s="371"/>
      <c r="Q67" s="371"/>
      <c r="R67" s="371"/>
      <c r="S67" s="371"/>
      <c r="T67" s="371"/>
      <c r="U67" s="371"/>
      <c r="V67" s="371"/>
      <c r="W67" s="371"/>
      <c r="X67" s="371"/>
      <c r="Y67" s="371"/>
      <c r="Z67" s="371"/>
      <c r="AA67" s="371"/>
      <c r="AB67" s="371"/>
      <c r="AC67" s="371"/>
      <c r="AD67" s="371"/>
      <c r="AE67" s="371"/>
      <c r="AF67" s="371"/>
      <c r="AG67" s="371"/>
      <c r="AH67" s="371"/>
      <c r="AI67" s="583">
        <f t="shared" si="1"/>
        <v>40.430731632808929</v>
      </c>
      <c r="AJ67" s="583"/>
      <c r="AK67" s="583"/>
      <c r="AL67" s="487">
        <f>Dizayn!$A$34</f>
        <v>4.75</v>
      </c>
      <c r="AM67" s="487"/>
      <c r="AN67" s="487" t="str">
        <f>Dizayn!$B$34</f>
        <v>No.4</v>
      </c>
      <c r="AO67" s="487"/>
      <c r="AP67" s="487"/>
      <c r="AQ67" s="371"/>
      <c r="AR67" s="371"/>
      <c r="AS67" s="371"/>
      <c r="AT67" s="371"/>
      <c r="AU67" s="371"/>
      <c r="AV67" s="371"/>
      <c r="AW67" s="371"/>
      <c r="AX67" s="371"/>
      <c r="AY67" s="371"/>
      <c r="AZ67" s="371"/>
      <c r="BA67" s="371"/>
      <c r="BB67" s="371"/>
      <c r="BC67" s="371"/>
      <c r="BD67" s="371"/>
      <c r="BE67" s="371"/>
      <c r="BF67" s="371"/>
      <c r="BG67" s="371"/>
      <c r="BH67" s="371"/>
      <c r="BI67" s="371"/>
      <c r="BJ67" s="371"/>
      <c r="BK67" s="371"/>
      <c r="BL67" s="371"/>
      <c r="BM67" s="371"/>
      <c r="BN67" s="371"/>
      <c r="BO67" s="371"/>
      <c r="BP67" s="372"/>
    </row>
    <row r="68" spans="1:68" ht="14.1" customHeight="1" x14ac:dyDescent="0.2">
      <c r="A68" s="583">
        <f t="shared" si="0"/>
        <v>29.761722926531249</v>
      </c>
      <c r="B68" s="583"/>
      <c r="C68" s="583"/>
      <c r="D68" s="626">
        <f>Dizayn!$A$35</f>
        <v>2</v>
      </c>
      <c r="E68" s="626"/>
      <c r="F68" s="487" t="str">
        <f>Dizayn!$B$35</f>
        <v>No.10</v>
      </c>
      <c r="G68" s="487"/>
      <c r="H68" s="487"/>
      <c r="I68" s="371"/>
      <c r="J68" s="371"/>
      <c r="K68" s="371"/>
      <c r="L68" s="371"/>
      <c r="M68" s="371"/>
      <c r="N68" s="371"/>
      <c r="O68" s="371"/>
      <c r="P68" s="371"/>
      <c r="Q68" s="371"/>
      <c r="R68" s="371"/>
      <c r="S68" s="371"/>
      <c r="T68" s="371"/>
      <c r="U68" s="371"/>
      <c r="V68" s="371"/>
      <c r="W68" s="371"/>
      <c r="X68" s="371"/>
      <c r="Y68" s="371"/>
      <c r="Z68" s="371"/>
      <c r="AA68" s="371"/>
      <c r="AB68" s="371"/>
      <c r="AC68" s="371"/>
      <c r="AD68" s="371"/>
      <c r="AE68" s="371"/>
      <c r="AF68" s="371"/>
      <c r="AG68" s="371"/>
      <c r="AH68" s="371"/>
      <c r="AI68" s="583">
        <f t="shared" si="1"/>
        <v>29.761722926531249</v>
      </c>
      <c r="AJ68" s="583"/>
      <c r="AK68" s="583"/>
      <c r="AL68" s="626">
        <f>Dizayn!$A$35</f>
        <v>2</v>
      </c>
      <c r="AM68" s="626"/>
      <c r="AN68" s="487" t="str">
        <f>Dizayn!$B$35</f>
        <v>No.10</v>
      </c>
      <c r="AO68" s="487"/>
      <c r="AP68" s="487"/>
      <c r="AQ68" s="371"/>
      <c r="AR68" s="371"/>
      <c r="AS68" s="371"/>
      <c r="AT68" s="371"/>
      <c r="AU68" s="371"/>
      <c r="AV68" s="371"/>
      <c r="AW68" s="371"/>
      <c r="AX68" s="371"/>
      <c r="AY68" s="371"/>
      <c r="AZ68" s="371"/>
      <c r="BA68" s="371"/>
      <c r="BB68" s="371"/>
      <c r="BC68" s="371"/>
      <c r="BD68" s="371"/>
      <c r="BE68" s="371"/>
      <c r="BF68" s="371"/>
      <c r="BG68" s="371"/>
      <c r="BH68" s="371"/>
      <c r="BI68" s="371"/>
      <c r="BJ68" s="371"/>
      <c r="BK68" s="371"/>
      <c r="BL68" s="371"/>
      <c r="BM68" s="371"/>
      <c r="BN68" s="371"/>
      <c r="BO68" s="371"/>
      <c r="BP68" s="372"/>
    </row>
    <row r="69" spans="1:68" ht="14.1" customHeight="1" x14ac:dyDescent="0.2">
      <c r="A69" s="583">
        <f t="shared" si="0"/>
        <v>13.387811211241811</v>
      </c>
      <c r="B69" s="583"/>
      <c r="C69" s="583"/>
      <c r="D69" s="487">
        <f>Dizayn!$A$36</f>
        <v>0.42499999999999999</v>
      </c>
      <c r="E69" s="487"/>
      <c r="F69" s="487" t="str">
        <f>Dizayn!$B$36</f>
        <v>No.40</v>
      </c>
      <c r="G69" s="487"/>
      <c r="H69" s="487"/>
      <c r="I69" s="371"/>
      <c r="J69" s="371"/>
      <c r="K69" s="371"/>
      <c r="L69" s="371"/>
      <c r="M69" s="371"/>
      <c r="N69" s="371"/>
      <c r="O69" s="371"/>
      <c r="P69" s="371"/>
      <c r="Q69" s="371"/>
      <c r="R69" s="371"/>
      <c r="S69" s="371"/>
      <c r="T69" s="371"/>
      <c r="U69" s="371"/>
      <c r="V69" s="371"/>
      <c r="W69" s="371"/>
      <c r="X69" s="371"/>
      <c r="Y69" s="371"/>
      <c r="Z69" s="371"/>
      <c r="AA69" s="371"/>
      <c r="AB69" s="371"/>
      <c r="AC69" s="371"/>
      <c r="AD69" s="371"/>
      <c r="AE69" s="371"/>
      <c r="AF69" s="371"/>
      <c r="AG69" s="371"/>
      <c r="AH69" s="371"/>
      <c r="AI69" s="583">
        <f t="shared" si="1"/>
        <v>8.3549717427829506</v>
      </c>
      <c r="AJ69" s="583"/>
      <c r="AK69" s="583"/>
      <c r="AL69" s="487">
        <f>Dizayn!$A$36</f>
        <v>0.42499999999999999</v>
      </c>
      <c r="AM69" s="487"/>
      <c r="AN69" s="487" t="str">
        <f>Dizayn!$B$36</f>
        <v>No.40</v>
      </c>
      <c r="AO69" s="487"/>
      <c r="AP69" s="487"/>
      <c r="AQ69" s="371"/>
      <c r="AR69" s="371"/>
      <c r="AS69" s="371"/>
      <c r="AT69" s="371"/>
      <c r="AU69" s="371"/>
      <c r="AV69" s="371"/>
      <c r="AW69" s="371"/>
      <c r="AX69" s="371"/>
      <c r="AY69" s="371"/>
      <c r="AZ69" s="371"/>
      <c r="BA69" s="371"/>
      <c r="BB69" s="371"/>
      <c r="BC69" s="371"/>
      <c r="BD69" s="371"/>
      <c r="BE69" s="371"/>
      <c r="BF69" s="371"/>
      <c r="BG69" s="371"/>
      <c r="BH69" s="371"/>
      <c r="BI69" s="371"/>
      <c r="BJ69" s="371"/>
      <c r="BK69" s="371"/>
      <c r="BL69" s="371"/>
      <c r="BM69" s="371"/>
      <c r="BN69" s="371"/>
      <c r="BO69" s="371"/>
      <c r="BP69" s="372"/>
    </row>
    <row r="70" spans="1:68" ht="14.1" customHeight="1" x14ac:dyDescent="0.2">
      <c r="A70" s="583">
        <f t="shared" si="0"/>
        <v>8.874293569573851</v>
      </c>
      <c r="B70" s="583"/>
      <c r="C70" s="583"/>
      <c r="D70" s="487">
        <f>Dizayn!$A$37</f>
        <v>0.18</v>
      </c>
      <c r="E70" s="487"/>
      <c r="F70" s="487" t="str">
        <f>Dizayn!$B$37</f>
        <v>No.80</v>
      </c>
      <c r="G70" s="487"/>
      <c r="H70" s="487"/>
      <c r="I70" s="371"/>
      <c r="J70" s="371"/>
      <c r="K70" s="371"/>
      <c r="L70" s="371"/>
      <c r="M70" s="371"/>
      <c r="N70" s="371"/>
      <c r="O70" s="371"/>
      <c r="P70" s="371"/>
      <c r="Q70" s="371"/>
      <c r="R70" s="371"/>
      <c r="S70" s="371"/>
      <c r="T70" s="371"/>
      <c r="U70" s="371"/>
      <c r="V70" s="371"/>
      <c r="W70" s="371"/>
      <c r="X70" s="371"/>
      <c r="Y70" s="371"/>
      <c r="Z70" s="371"/>
      <c r="AA70" s="371"/>
      <c r="AB70" s="371"/>
      <c r="AC70" s="371"/>
      <c r="AD70" s="371"/>
      <c r="AE70" s="371"/>
      <c r="AF70" s="371"/>
      <c r="AG70" s="371"/>
      <c r="AH70" s="371"/>
      <c r="AI70" s="583">
        <f t="shared" si="1"/>
        <v>8.874293569573851</v>
      </c>
      <c r="AJ70" s="583"/>
      <c r="AK70" s="583"/>
      <c r="AL70" s="487">
        <f>Dizayn!$A$37</f>
        <v>0.18</v>
      </c>
      <c r="AM70" s="487"/>
      <c r="AN70" s="487" t="str">
        <f>Dizayn!$B$37</f>
        <v>No.80</v>
      </c>
      <c r="AO70" s="487"/>
      <c r="AP70" s="487"/>
      <c r="AQ70" s="371"/>
      <c r="AR70" s="371"/>
      <c r="AS70" s="371"/>
      <c r="AT70" s="371"/>
      <c r="AU70" s="371"/>
      <c r="AV70" s="371"/>
      <c r="AW70" s="371"/>
      <c r="AX70" s="371"/>
      <c r="AY70" s="371"/>
      <c r="AZ70" s="371"/>
      <c r="BA70" s="371"/>
      <c r="BB70" s="371"/>
      <c r="BC70" s="371"/>
      <c r="BD70" s="371"/>
      <c r="BE70" s="371"/>
      <c r="BF70" s="371"/>
      <c r="BG70" s="371"/>
      <c r="BH70" s="371"/>
      <c r="BI70" s="371"/>
      <c r="BJ70" s="371"/>
      <c r="BK70" s="371"/>
      <c r="BL70" s="371"/>
      <c r="BM70" s="371"/>
      <c r="BN70" s="371"/>
      <c r="BO70" s="371"/>
      <c r="BP70" s="372"/>
    </row>
    <row r="71" spans="1:68" ht="14.1" customHeight="1" x14ac:dyDescent="0.2">
      <c r="A71" s="583">
        <f t="shared" si="0"/>
        <v>6.2318619214907613</v>
      </c>
      <c r="B71" s="583"/>
      <c r="C71" s="583"/>
      <c r="D71" s="623">
        <f>Dizayn!$A$38</f>
        <v>7.4999999999999997E-2</v>
      </c>
      <c r="E71" s="623"/>
      <c r="F71" s="487" t="str">
        <f>Dizayn!$B$38</f>
        <v>No.200</v>
      </c>
      <c r="G71" s="487"/>
      <c r="H71" s="487"/>
      <c r="I71" s="371"/>
      <c r="J71" s="371"/>
      <c r="K71" s="371"/>
      <c r="L71" s="371"/>
      <c r="M71" s="371"/>
      <c r="N71" s="371"/>
      <c r="O71" s="371"/>
      <c r="P71" s="371"/>
      <c r="Q71" s="371"/>
      <c r="R71" s="371"/>
      <c r="S71" s="371"/>
      <c r="T71" s="371"/>
      <c r="U71" s="371"/>
      <c r="V71" s="371"/>
      <c r="W71" s="371"/>
      <c r="X71" s="371"/>
      <c r="Y71" s="371"/>
      <c r="Z71" s="371"/>
      <c r="AA71" s="371"/>
      <c r="AB71" s="371"/>
      <c r="AC71" s="371"/>
      <c r="AD71" s="371"/>
      <c r="AE71" s="371"/>
      <c r="AF71" s="371"/>
      <c r="AG71" s="371"/>
      <c r="AH71" s="371"/>
      <c r="AI71" s="583">
        <f t="shared" si="1"/>
        <v>6.2318619214907613</v>
      </c>
      <c r="AJ71" s="583"/>
      <c r="AK71" s="583"/>
      <c r="AL71" s="623">
        <f>Dizayn!$A$38</f>
        <v>7.4999999999999997E-2</v>
      </c>
      <c r="AM71" s="623"/>
      <c r="AN71" s="487" t="str">
        <f>Dizayn!$B$38</f>
        <v>No.200</v>
      </c>
      <c r="AO71" s="487"/>
      <c r="AP71" s="487"/>
      <c r="AQ71" s="371"/>
      <c r="AR71" s="371"/>
      <c r="AS71" s="371"/>
      <c r="AT71" s="371"/>
      <c r="AU71" s="371"/>
      <c r="AV71" s="371"/>
      <c r="AW71" s="371"/>
      <c r="AX71" s="371"/>
      <c r="AY71" s="371"/>
      <c r="AZ71" s="371"/>
      <c r="BA71" s="371"/>
      <c r="BB71" s="371"/>
      <c r="BC71" s="371"/>
      <c r="BD71" s="371"/>
      <c r="BE71" s="371"/>
      <c r="BF71" s="371"/>
      <c r="BG71" s="371"/>
      <c r="BH71" s="371"/>
      <c r="BI71" s="371"/>
      <c r="BJ71" s="371"/>
      <c r="BK71" s="371"/>
      <c r="BL71" s="371"/>
      <c r="BM71" s="371"/>
      <c r="BN71" s="371"/>
      <c r="BO71" s="371"/>
      <c r="BP71" s="372"/>
    </row>
    <row r="72" spans="1:68" ht="14.1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</row>
    <row r="73" spans="1:68" ht="14.1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</row>
    <row r="74" spans="1:68" ht="14.1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</row>
    <row r="75" spans="1:68" ht="14.1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</row>
    <row r="76" spans="1:68" ht="14.1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</row>
    <row r="77" spans="1:68" ht="14.1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</row>
    <row r="78" spans="1:68" ht="14.1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</row>
    <row r="79" spans="1:68" ht="14.1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</row>
  </sheetData>
  <sheetProtection password="CC3D" sheet="1" objects="1" scenarios="1"/>
  <mergeCells count="282">
    <mergeCell ref="D70:E70"/>
    <mergeCell ref="F70:H70"/>
    <mergeCell ref="D71:E71"/>
    <mergeCell ref="F71:H71"/>
    <mergeCell ref="A60:C61"/>
    <mergeCell ref="BM22:BO23"/>
    <mergeCell ref="I14:K14"/>
    <mergeCell ref="I15:K15"/>
    <mergeCell ref="I16:K16"/>
    <mergeCell ref="I17:K17"/>
    <mergeCell ref="I18:K18"/>
    <mergeCell ref="I19:K19"/>
    <mergeCell ref="I20:K20"/>
    <mergeCell ref="I21:K21"/>
    <mergeCell ref="I22:K22"/>
    <mergeCell ref="I23:K23"/>
    <mergeCell ref="AQ14:AS14"/>
    <mergeCell ref="AQ15:AS15"/>
    <mergeCell ref="AQ16:AS16"/>
    <mergeCell ref="AQ17:AS17"/>
    <mergeCell ref="AQ18:AS18"/>
    <mergeCell ref="AQ19:AS19"/>
    <mergeCell ref="AQ20:AS20"/>
    <mergeCell ref="AQ21:AS21"/>
    <mergeCell ref="D65:E65"/>
    <mergeCell ref="F65:H65"/>
    <mergeCell ref="D66:E66"/>
    <mergeCell ref="F66:H66"/>
    <mergeCell ref="D67:E67"/>
    <mergeCell ref="F67:H67"/>
    <mergeCell ref="D68:E68"/>
    <mergeCell ref="F68:H68"/>
    <mergeCell ref="D69:E69"/>
    <mergeCell ref="F69:H69"/>
    <mergeCell ref="D60:H60"/>
    <mergeCell ref="D61:E61"/>
    <mergeCell ref="F61:H61"/>
    <mergeCell ref="D62:E62"/>
    <mergeCell ref="F62:H62"/>
    <mergeCell ref="D63:E63"/>
    <mergeCell ref="F63:H63"/>
    <mergeCell ref="D64:E64"/>
    <mergeCell ref="F64:H64"/>
    <mergeCell ref="A1:J6"/>
    <mergeCell ref="K1:W6"/>
    <mergeCell ref="X1:AG6"/>
    <mergeCell ref="AI1:AR6"/>
    <mergeCell ref="AS1:BE6"/>
    <mergeCell ref="BF1:BO6"/>
    <mergeCell ref="BM20:BO21"/>
    <mergeCell ref="AI63:AK63"/>
    <mergeCell ref="AI64:AK64"/>
    <mergeCell ref="AW22:AY22"/>
    <mergeCell ref="BA22:BL23"/>
    <mergeCell ref="AW23:AY23"/>
    <mergeCell ref="AI20:AJ20"/>
    <mergeCell ref="AK20:AM20"/>
    <mergeCell ref="AN20:AP20"/>
    <mergeCell ref="AT20:AV20"/>
    <mergeCell ref="AW20:AY20"/>
    <mergeCell ref="BA20:BL21"/>
    <mergeCell ref="AI21:AJ21"/>
    <mergeCell ref="AK21:AM21"/>
    <mergeCell ref="AN21:AP21"/>
    <mergeCell ref="AI22:AJ22"/>
    <mergeCell ref="AK22:AM22"/>
    <mergeCell ref="AN22:AP22"/>
    <mergeCell ref="AT22:AV22"/>
    <mergeCell ref="AI23:AJ23"/>
    <mergeCell ref="AK23:AM23"/>
    <mergeCell ref="AN23:AP23"/>
    <mergeCell ref="AT23:AV23"/>
    <mergeCell ref="AQ22:AS22"/>
    <mergeCell ref="AQ23:AS23"/>
    <mergeCell ref="AI69:AK69"/>
    <mergeCell ref="AI70:AK70"/>
    <mergeCell ref="AL70:AM70"/>
    <mergeCell ref="AN70:AP70"/>
    <mergeCell ref="AL60:AP60"/>
    <mergeCell ref="AL61:AM61"/>
    <mergeCell ref="AN61:AP61"/>
    <mergeCell ref="AN65:AP65"/>
    <mergeCell ref="AL66:AM66"/>
    <mergeCell ref="AN66:AP66"/>
    <mergeCell ref="AL67:AM67"/>
    <mergeCell ref="AN67:AP67"/>
    <mergeCell ref="AL68:AM68"/>
    <mergeCell ref="AN68:AP68"/>
    <mergeCell ref="AL69:AM69"/>
    <mergeCell ref="AN69:AP69"/>
    <mergeCell ref="AI60:AK61"/>
    <mergeCell ref="AI71:AK71"/>
    <mergeCell ref="AI24:AM24"/>
    <mergeCell ref="AN24:AP24"/>
    <mergeCell ref="BA24:BL24"/>
    <mergeCell ref="BM24:BO24"/>
    <mergeCell ref="AI26:AM26"/>
    <mergeCell ref="AO26:AQ26"/>
    <mergeCell ref="AR26:AT26"/>
    <mergeCell ref="AI62:AK62"/>
    <mergeCell ref="AI65:AK65"/>
    <mergeCell ref="AI66:AK66"/>
    <mergeCell ref="AI67:AK67"/>
    <mergeCell ref="AI68:AK68"/>
    <mergeCell ref="AL62:AM62"/>
    <mergeCell ref="AN62:AP62"/>
    <mergeCell ref="AL63:AM63"/>
    <mergeCell ref="AN63:AP63"/>
    <mergeCell ref="AL64:AM64"/>
    <mergeCell ref="AN64:AP64"/>
    <mergeCell ref="AL65:AM65"/>
    <mergeCell ref="AL71:AM71"/>
    <mergeCell ref="AN71:AP71"/>
    <mergeCell ref="AT21:AV21"/>
    <mergeCell ref="AW21:AY21"/>
    <mergeCell ref="AI17:AJ17"/>
    <mergeCell ref="AK17:AM17"/>
    <mergeCell ref="AN17:AP17"/>
    <mergeCell ref="AT17:AV17"/>
    <mergeCell ref="AW17:AY17"/>
    <mergeCell ref="BA17:BL17"/>
    <mergeCell ref="BM17:BO17"/>
    <mergeCell ref="AI18:AJ18"/>
    <mergeCell ref="AK18:AM18"/>
    <mergeCell ref="AN18:AP18"/>
    <mergeCell ref="AT18:AV18"/>
    <mergeCell ref="AW18:AY18"/>
    <mergeCell ref="BA18:BL19"/>
    <mergeCell ref="BM18:BO19"/>
    <mergeCell ref="AI19:AJ19"/>
    <mergeCell ref="AK19:AM19"/>
    <mergeCell ref="AN19:AP19"/>
    <mergeCell ref="AT19:AV19"/>
    <mergeCell ref="AW19:AY19"/>
    <mergeCell ref="AI14:AJ14"/>
    <mergeCell ref="AK14:AM14"/>
    <mergeCell ref="AN14:AP14"/>
    <mergeCell ref="AT14:AV14"/>
    <mergeCell ref="AW14:AY14"/>
    <mergeCell ref="BA14:BL14"/>
    <mergeCell ref="BM14:BO14"/>
    <mergeCell ref="AI15:AJ15"/>
    <mergeCell ref="AK15:AM15"/>
    <mergeCell ref="AN15:AP15"/>
    <mergeCell ref="AT15:AV15"/>
    <mergeCell ref="AW15:AY15"/>
    <mergeCell ref="BA15:BL16"/>
    <mergeCell ref="BM15:BO16"/>
    <mergeCell ref="AI16:AJ16"/>
    <mergeCell ref="AK16:AM16"/>
    <mergeCell ref="AN16:AP16"/>
    <mergeCell ref="AT16:AV16"/>
    <mergeCell ref="AW16:AY16"/>
    <mergeCell ref="AI10:AN10"/>
    <mergeCell ref="AO10:BB10"/>
    <mergeCell ref="BC10:BG10"/>
    <mergeCell ref="BH10:BO10"/>
    <mergeCell ref="AI11:AY11"/>
    <mergeCell ref="BA11:BO11"/>
    <mergeCell ref="AI12:AM12"/>
    <mergeCell ref="AN12:AP13"/>
    <mergeCell ref="AQ12:AS13"/>
    <mergeCell ref="AT12:AV13"/>
    <mergeCell ref="AW12:AY13"/>
    <mergeCell ref="BA12:BL13"/>
    <mergeCell ref="BM12:BO13"/>
    <mergeCell ref="AI13:AJ13"/>
    <mergeCell ref="AK13:AM13"/>
    <mergeCell ref="AI7:AN8"/>
    <mergeCell ref="AO7:BB8"/>
    <mergeCell ref="BC7:BG7"/>
    <mergeCell ref="BH7:BO7"/>
    <mergeCell ref="BC8:BG8"/>
    <mergeCell ref="BH8:BO8"/>
    <mergeCell ref="AI9:AN9"/>
    <mergeCell ref="AO9:BB9"/>
    <mergeCell ref="BC9:BG9"/>
    <mergeCell ref="BH9:BO9"/>
    <mergeCell ref="A21:B21"/>
    <mergeCell ref="S11:AG11"/>
    <mergeCell ref="A11:Q11"/>
    <mergeCell ref="O12:Q13"/>
    <mergeCell ref="S12:AD13"/>
    <mergeCell ref="S14:AD14"/>
    <mergeCell ref="S15:AD16"/>
    <mergeCell ref="S17:AD17"/>
    <mergeCell ref="C14:E14"/>
    <mergeCell ref="C15:E15"/>
    <mergeCell ref="C16:E16"/>
    <mergeCell ref="C17:E17"/>
    <mergeCell ref="C13:E13"/>
    <mergeCell ref="A13:B13"/>
    <mergeCell ref="A19:B19"/>
    <mergeCell ref="C18:E18"/>
    <mergeCell ref="L12:N13"/>
    <mergeCell ref="L14:N14"/>
    <mergeCell ref="L15:N15"/>
    <mergeCell ref="L16:N16"/>
    <mergeCell ref="AE14:AG14"/>
    <mergeCell ref="AE15:AG16"/>
    <mergeCell ref="AE18:AG19"/>
    <mergeCell ref="A71:C71"/>
    <mergeCell ref="A66:C66"/>
    <mergeCell ref="A67:C67"/>
    <mergeCell ref="A68:C68"/>
    <mergeCell ref="A69:C69"/>
    <mergeCell ref="A70:C70"/>
    <mergeCell ref="A62:C62"/>
    <mergeCell ref="A63:C63"/>
    <mergeCell ref="A64:C64"/>
    <mergeCell ref="A65:C65"/>
    <mergeCell ref="Z7:AG7"/>
    <mergeCell ref="U8:Y8"/>
    <mergeCell ref="Z8:AG8"/>
    <mergeCell ref="L20:N20"/>
    <mergeCell ref="L21:N21"/>
    <mergeCell ref="L22:N22"/>
    <mergeCell ref="L17:N17"/>
    <mergeCell ref="L18:N18"/>
    <mergeCell ref="I12:K13"/>
    <mergeCell ref="S18:AD19"/>
    <mergeCell ref="AE20:AG21"/>
    <mergeCell ref="AE22:AG23"/>
    <mergeCell ref="O19:Q19"/>
    <mergeCell ref="O20:Q20"/>
    <mergeCell ref="O21:Q21"/>
    <mergeCell ref="O22:Q22"/>
    <mergeCell ref="O23:Q23"/>
    <mergeCell ref="O14:Q14"/>
    <mergeCell ref="O15:Q15"/>
    <mergeCell ref="O16:Q16"/>
    <mergeCell ref="O17:Q17"/>
    <mergeCell ref="O18:Q18"/>
    <mergeCell ref="Z9:AG9"/>
    <mergeCell ref="A10:F10"/>
    <mergeCell ref="G10:T10"/>
    <mergeCell ref="U10:Y10"/>
    <mergeCell ref="Z10:AG10"/>
    <mergeCell ref="L23:N23"/>
    <mergeCell ref="C20:E20"/>
    <mergeCell ref="AE24:AG24"/>
    <mergeCell ref="S20:AD21"/>
    <mergeCell ref="S22:AD23"/>
    <mergeCell ref="S24:AD24"/>
    <mergeCell ref="AE12:AG13"/>
    <mergeCell ref="AE17:AG17"/>
    <mergeCell ref="C19:E19"/>
    <mergeCell ref="L19:N19"/>
    <mergeCell ref="A24:E24"/>
    <mergeCell ref="F14:H14"/>
    <mergeCell ref="F15:H15"/>
    <mergeCell ref="A22:B22"/>
    <mergeCell ref="A23:B23"/>
    <mergeCell ref="A14:B14"/>
    <mergeCell ref="A15:B15"/>
    <mergeCell ref="A16:B16"/>
    <mergeCell ref="A17:B17"/>
    <mergeCell ref="A18:B18"/>
    <mergeCell ref="A7:F8"/>
    <mergeCell ref="A26:E26"/>
    <mergeCell ref="G26:I26"/>
    <mergeCell ref="J26:L26"/>
    <mergeCell ref="A12:E12"/>
    <mergeCell ref="F12:H13"/>
    <mergeCell ref="A9:F9"/>
    <mergeCell ref="G9:T9"/>
    <mergeCell ref="U9:Y9"/>
    <mergeCell ref="G7:T8"/>
    <mergeCell ref="U7:Y7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C21:E21"/>
    <mergeCell ref="C22:E22"/>
    <mergeCell ref="C23:E23"/>
    <mergeCell ref="A20:B20"/>
  </mergeCells>
  <conditionalFormatting sqref="I14:I23">
    <cfRule type="containsText" dxfId="11" priority="9" operator="containsText" text="X">
      <formula>NOT(ISERROR(SEARCH("X",I14)))</formula>
    </cfRule>
  </conditionalFormatting>
  <conditionalFormatting sqref="AQ14:AQ23">
    <cfRule type="containsText" dxfId="10" priority="1" operator="containsText" text="X">
      <formula>NOT(ISERROR(SEARCH("X",AQ14)))</formula>
    </cfRule>
  </conditionalFormatting>
  <printOptions verticalCentered="1" gridLinesSet="0"/>
  <pageMargins left="0.70866141732283472" right="0.35433070866141736" top="0.35433070866141736" bottom="0.35433070866141736" header="0" footer="0"/>
  <pageSetup paperSize="9" fitToHeight="2" orientation="portrait" horizontalDpi="300" verticalDpi="3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6"/>
  <sheetViews>
    <sheetView showGridLines="0" zoomScaleNormal="100" zoomScaleSheetLayoutView="100" workbookViewId="0">
      <selection activeCell="AS13" sqref="AS13:AW13"/>
    </sheetView>
  </sheetViews>
  <sheetFormatPr defaultColWidth="2.7109375" defaultRowHeight="14.1" customHeight="1" x14ac:dyDescent="0.25"/>
  <cols>
    <col min="1" max="1" width="2.7109375" style="54" customWidth="1"/>
    <col min="2" max="2" width="2.7109375" style="62"/>
    <col min="3" max="10" width="2.7109375" style="54"/>
    <col min="11" max="11" width="2.7109375" style="54" customWidth="1"/>
    <col min="12" max="24" width="2.7109375" style="54"/>
    <col min="25" max="26" width="2.7109375" style="54" customWidth="1"/>
    <col min="27" max="27" width="2.7109375" style="54"/>
    <col min="28" max="28" width="2.7109375" style="54" customWidth="1"/>
    <col min="29" max="29" width="2.7109375" style="55"/>
    <col min="30" max="30" width="2.7109375" style="55" customWidth="1"/>
    <col min="31" max="31" width="2.7109375" style="55"/>
    <col min="32" max="32" width="2.7109375" style="55" customWidth="1"/>
    <col min="33" max="33" width="2.7109375" style="54" customWidth="1"/>
    <col min="34" max="46" width="2.7109375" style="54"/>
    <col min="47" max="47" width="2.7109375" style="54" customWidth="1"/>
    <col min="48" max="51" width="2.7109375" style="54"/>
    <col min="52" max="54" width="2.7109375" style="54" customWidth="1"/>
    <col min="55" max="62" width="2.7109375" style="54"/>
    <col min="63" max="64" width="2.7109375" style="54" customWidth="1"/>
    <col min="65" max="16384" width="2.7109375" style="54"/>
  </cols>
  <sheetData>
    <row r="1" spans="1:68" ht="14.1" customHeight="1" x14ac:dyDescent="0.25">
      <c r="A1" s="565"/>
      <c r="B1" s="558"/>
      <c r="C1" s="558"/>
      <c r="D1" s="558"/>
      <c r="E1" s="558"/>
      <c r="F1" s="558"/>
      <c r="G1" s="558"/>
      <c r="H1" s="558"/>
      <c r="I1" s="558"/>
      <c r="J1" s="558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555"/>
      <c r="V1" s="555"/>
      <c r="W1" s="555"/>
      <c r="X1" s="558"/>
      <c r="Y1" s="558"/>
      <c r="Z1" s="558"/>
      <c r="AA1" s="558"/>
      <c r="AB1" s="558"/>
      <c r="AC1" s="558"/>
      <c r="AD1" s="558"/>
      <c r="AE1" s="558"/>
      <c r="AF1" s="558"/>
      <c r="AG1" s="559"/>
      <c r="AI1" s="330"/>
      <c r="AJ1" s="330"/>
      <c r="AK1" s="330"/>
      <c r="AL1" s="330"/>
      <c r="AM1" s="330"/>
      <c r="AN1" s="330"/>
      <c r="AO1" s="330"/>
      <c r="AP1" s="330"/>
      <c r="AQ1" s="330"/>
      <c r="AR1" s="330"/>
      <c r="AS1" s="330"/>
      <c r="AT1" s="330"/>
      <c r="AU1" s="330"/>
      <c r="AV1" s="330"/>
      <c r="AW1" s="330"/>
      <c r="AX1" s="330"/>
      <c r="AY1" s="330"/>
      <c r="AZ1" s="330"/>
      <c r="BA1" s="330"/>
      <c r="BB1" s="330"/>
      <c r="BC1" s="330"/>
      <c r="BD1" s="330"/>
      <c r="BE1" s="330"/>
      <c r="BF1" s="330"/>
      <c r="BG1" s="330"/>
      <c r="BH1" s="330"/>
      <c r="BI1" s="330"/>
      <c r="BJ1" s="330"/>
      <c r="BK1" s="330"/>
      <c r="BL1" s="330"/>
    </row>
    <row r="2" spans="1:68" ht="14.1" customHeight="1" x14ac:dyDescent="0.25">
      <c r="A2" s="566"/>
      <c r="B2" s="560"/>
      <c r="C2" s="560"/>
      <c r="D2" s="560"/>
      <c r="E2" s="560"/>
      <c r="F2" s="560"/>
      <c r="G2" s="560"/>
      <c r="H2" s="560"/>
      <c r="I2" s="560"/>
      <c r="J2" s="560"/>
      <c r="K2" s="556"/>
      <c r="L2" s="556"/>
      <c r="M2" s="556"/>
      <c r="N2" s="556"/>
      <c r="O2" s="556"/>
      <c r="P2" s="556"/>
      <c r="Q2" s="556"/>
      <c r="R2" s="556"/>
      <c r="S2" s="556"/>
      <c r="T2" s="556"/>
      <c r="U2" s="556"/>
      <c r="V2" s="556"/>
      <c r="W2" s="556"/>
      <c r="X2" s="560"/>
      <c r="Y2" s="560"/>
      <c r="Z2" s="560"/>
      <c r="AA2" s="560"/>
      <c r="AB2" s="560"/>
      <c r="AC2" s="560"/>
      <c r="AD2" s="560"/>
      <c r="AE2" s="560"/>
      <c r="AF2" s="560"/>
      <c r="AG2" s="561"/>
      <c r="AI2" s="330"/>
      <c r="AJ2" s="330"/>
      <c r="AK2" s="330"/>
      <c r="AL2" s="330"/>
      <c r="AM2" s="330"/>
      <c r="AN2" s="330"/>
      <c r="AO2" s="330"/>
      <c r="AP2" s="330"/>
      <c r="AQ2" s="330"/>
      <c r="AR2" s="330"/>
      <c r="AS2" s="330"/>
      <c r="AT2" s="330"/>
      <c r="AU2" s="330"/>
      <c r="AV2" s="330"/>
      <c r="AW2" s="330"/>
      <c r="AX2" s="330"/>
      <c r="AY2" s="330"/>
      <c r="AZ2" s="330"/>
      <c r="BA2" s="330"/>
      <c r="BB2" s="330"/>
      <c r="BC2" s="330"/>
      <c r="BD2" s="330"/>
      <c r="BE2" s="330"/>
      <c r="BF2" s="330"/>
      <c r="BG2" s="330"/>
      <c r="BH2" s="330"/>
      <c r="BI2" s="330"/>
      <c r="BJ2" s="330"/>
      <c r="BK2" s="330"/>
      <c r="BL2" s="330"/>
    </row>
    <row r="3" spans="1:68" ht="14.1" customHeight="1" x14ac:dyDescent="0.25">
      <c r="A3" s="566"/>
      <c r="B3" s="560"/>
      <c r="C3" s="560"/>
      <c r="D3" s="560"/>
      <c r="E3" s="560"/>
      <c r="F3" s="560"/>
      <c r="G3" s="560"/>
      <c r="H3" s="560"/>
      <c r="I3" s="560"/>
      <c r="J3" s="560"/>
      <c r="K3" s="556"/>
      <c r="L3" s="556"/>
      <c r="M3" s="556"/>
      <c r="N3" s="556"/>
      <c r="O3" s="556"/>
      <c r="P3" s="556"/>
      <c r="Q3" s="556"/>
      <c r="R3" s="556"/>
      <c r="S3" s="556"/>
      <c r="T3" s="556"/>
      <c r="U3" s="556"/>
      <c r="V3" s="556"/>
      <c r="W3" s="556"/>
      <c r="X3" s="560"/>
      <c r="Y3" s="560"/>
      <c r="Z3" s="560"/>
      <c r="AA3" s="560"/>
      <c r="AB3" s="560"/>
      <c r="AC3" s="560"/>
      <c r="AD3" s="560"/>
      <c r="AE3" s="560"/>
      <c r="AF3" s="560"/>
      <c r="AG3" s="561"/>
      <c r="AI3" s="330"/>
      <c r="AJ3" s="330"/>
      <c r="AK3" s="330"/>
      <c r="AL3" s="330"/>
      <c r="AM3" s="330"/>
      <c r="AN3" s="330"/>
      <c r="AO3" s="330"/>
      <c r="AP3" s="330"/>
      <c r="AQ3" s="330"/>
      <c r="AR3" s="330"/>
      <c r="AS3" s="330"/>
      <c r="AT3" s="330"/>
      <c r="AU3" s="330"/>
      <c r="AV3" s="330"/>
      <c r="AW3" s="330"/>
      <c r="AX3" s="330"/>
      <c r="AY3" s="330"/>
      <c r="AZ3" s="330"/>
      <c r="BA3" s="330"/>
      <c r="BB3" s="330"/>
      <c r="BC3" s="330"/>
      <c r="BD3" s="330"/>
      <c r="BE3" s="330"/>
      <c r="BF3" s="330"/>
      <c r="BG3" s="330"/>
      <c r="BH3" s="330"/>
      <c r="BI3" s="330"/>
      <c r="BJ3" s="330"/>
      <c r="BK3" s="330"/>
      <c r="BL3" s="330"/>
    </row>
    <row r="4" spans="1:68" ht="14.1" customHeight="1" x14ac:dyDescent="0.25">
      <c r="A4" s="566"/>
      <c r="B4" s="560"/>
      <c r="C4" s="560"/>
      <c r="D4" s="560"/>
      <c r="E4" s="560"/>
      <c r="F4" s="560"/>
      <c r="G4" s="560"/>
      <c r="H4" s="560"/>
      <c r="I4" s="560"/>
      <c r="J4" s="560"/>
      <c r="K4" s="556"/>
      <c r="L4" s="556"/>
      <c r="M4" s="556"/>
      <c r="N4" s="556"/>
      <c r="O4" s="556"/>
      <c r="P4" s="556"/>
      <c r="Q4" s="556"/>
      <c r="R4" s="556"/>
      <c r="S4" s="556"/>
      <c r="T4" s="556"/>
      <c r="U4" s="556"/>
      <c r="V4" s="556"/>
      <c r="W4" s="556"/>
      <c r="X4" s="560"/>
      <c r="Y4" s="560"/>
      <c r="Z4" s="560"/>
      <c r="AA4" s="560"/>
      <c r="AB4" s="560"/>
      <c r="AC4" s="560"/>
      <c r="AD4" s="560"/>
      <c r="AE4" s="560"/>
      <c r="AF4" s="560"/>
      <c r="AG4" s="561"/>
      <c r="AI4" s="330"/>
      <c r="AJ4" s="330"/>
      <c r="AK4" s="330"/>
      <c r="AL4" s="330"/>
      <c r="AM4" s="330"/>
      <c r="AN4" s="330"/>
      <c r="AO4" s="330"/>
      <c r="AP4" s="330"/>
      <c r="AQ4" s="330"/>
      <c r="AR4" s="330"/>
      <c r="AS4" s="330"/>
      <c r="AT4" s="330"/>
      <c r="AU4" s="330"/>
      <c r="AV4" s="330"/>
      <c r="AW4" s="330"/>
      <c r="AX4" s="330"/>
      <c r="AY4" s="330"/>
      <c r="AZ4" s="330"/>
      <c r="BA4" s="330"/>
      <c r="BB4" s="330"/>
      <c r="BC4" s="330"/>
      <c r="BD4" s="330"/>
      <c r="BE4" s="330"/>
      <c r="BF4" s="330"/>
      <c r="BG4" s="330"/>
      <c r="BH4" s="330"/>
      <c r="BI4" s="330"/>
      <c r="BJ4" s="330"/>
      <c r="BK4" s="330"/>
      <c r="BL4" s="330"/>
    </row>
    <row r="5" spans="1:68" ht="14.1" customHeight="1" x14ac:dyDescent="0.25">
      <c r="A5" s="566"/>
      <c r="B5" s="560"/>
      <c r="C5" s="560"/>
      <c r="D5" s="560"/>
      <c r="E5" s="560"/>
      <c r="F5" s="560"/>
      <c r="G5" s="560"/>
      <c r="H5" s="560"/>
      <c r="I5" s="560"/>
      <c r="J5" s="560"/>
      <c r="K5" s="556"/>
      <c r="L5" s="556"/>
      <c r="M5" s="556"/>
      <c r="N5" s="556"/>
      <c r="O5" s="556"/>
      <c r="P5" s="556"/>
      <c r="Q5" s="556"/>
      <c r="R5" s="556"/>
      <c r="S5" s="556"/>
      <c r="T5" s="556"/>
      <c r="U5" s="556"/>
      <c r="V5" s="556"/>
      <c r="W5" s="556"/>
      <c r="X5" s="560"/>
      <c r="Y5" s="560"/>
      <c r="Z5" s="560"/>
      <c r="AA5" s="560"/>
      <c r="AB5" s="560"/>
      <c r="AC5" s="560"/>
      <c r="AD5" s="560"/>
      <c r="AE5" s="560"/>
      <c r="AF5" s="560"/>
      <c r="AG5" s="561"/>
      <c r="AI5" s="330"/>
      <c r="AJ5" s="330"/>
      <c r="AK5" s="330"/>
      <c r="AL5" s="330"/>
      <c r="AM5" s="330"/>
      <c r="AN5" s="330"/>
      <c r="AO5" s="330"/>
      <c r="AP5" s="330"/>
      <c r="AQ5" s="330"/>
      <c r="AR5" s="330"/>
      <c r="AS5" s="330"/>
      <c r="AT5" s="330"/>
      <c r="AU5" s="330"/>
      <c r="AV5" s="330"/>
      <c r="AW5" s="330"/>
      <c r="AX5" s="330"/>
      <c r="AY5" s="330"/>
      <c r="AZ5" s="330"/>
      <c r="BA5" s="330"/>
      <c r="BB5" s="330"/>
      <c r="BC5" s="330"/>
      <c r="BD5" s="330"/>
      <c r="BE5" s="330"/>
      <c r="BF5" s="330"/>
      <c r="BG5" s="330"/>
      <c r="BH5" s="330"/>
      <c r="BI5" s="330"/>
      <c r="BJ5" s="330"/>
      <c r="BK5" s="330"/>
      <c r="BL5" s="330"/>
    </row>
    <row r="6" spans="1:68" ht="14.1" customHeight="1" x14ac:dyDescent="0.25">
      <c r="A6" s="567"/>
      <c r="B6" s="562"/>
      <c r="C6" s="562"/>
      <c r="D6" s="562"/>
      <c r="E6" s="562"/>
      <c r="F6" s="562"/>
      <c r="G6" s="562"/>
      <c r="H6" s="562"/>
      <c r="I6" s="562"/>
      <c r="J6" s="562"/>
      <c r="K6" s="557"/>
      <c r="L6" s="557"/>
      <c r="M6" s="557"/>
      <c r="N6" s="557"/>
      <c r="O6" s="557"/>
      <c r="P6" s="557"/>
      <c r="Q6" s="557"/>
      <c r="R6" s="557"/>
      <c r="S6" s="557"/>
      <c r="T6" s="557"/>
      <c r="U6" s="557"/>
      <c r="V6" s="557"/>
      <c r="W6" s="557"/>
      <c r="X6" s="562"/>
      <c r="Y6" s="562"/>
      <c r="Z6" s="562"/>
      <c r="AA6" s="562"/>
      <c r="AB6" s="562"/>
      <c r="AC6" s="562"/>
      <c r="AD6" s="562"/>
      <c r="AE6" s="562"/>
      <c r="AF6" s="562"/>
      <c r="AG6" s="563"/>
      <c r="AI6" s="330"/>
      <c r="AJ6" s="330"/>
      <c r="AK6" s="330"/>
      <c r="AL6" s="330"/>
      <c r="AM6" s="330"/>
      <c r="AN6" s="330"/>
      <c r="AO6" s="330"/>
      <c r="AP6" s="330"/>
      <c r="AQ6" s="330"/>
      <c r="AR6" s="330"/>
      <c r="AS6" s="330"/>
      <c r="AT6" s="330"/>
      <c r="AU6" s="330"/>
      <c r="AV6" s="330"/>
      <c r="AW6" s="330"/>
      <c r="AX6" s="330"/>
      <c r="AY6" s="330"/>
      <c r="AZ6" s="330"/>
      <c r="BA6" s="330"/>
      <c r="BB6" s="330"/>
      <c r="BC6" s="330"/>
      <c r="BD6" s="330"/>
      <c r="BE6" s="330"/>
      <c r="BF6" s="330"/>
      <c r="BG6" s="330"/>
      <c r="BH6" s="330"/>
      <c r="BI6" s="330"/>
      <c r="BJ6" s="330"/>
      <c r="BK6" s="330"/>
      <c r="BL6" s="330"/>
    </row>
    <row r="7" spans="1:68" ht="14.1" customHeight="1" x14ac:dyDescent="0.25">
      <c r="A7" s="541" t="s">
        <v>267</v>
      </c>
      <c r="B7" s="542"/>
      <c r="C7" s="542"/>
      <c r="D7" s="542"/>
      <c r="E7" s="542"/>
      <c r="F7" s="542"/>
      <c r="G7" s="545" t="str">
        <f>PROPER(Dizayn!$C$4)</f>
        <v>Keşan Ayrımı - Korudağı - Gelibolu Bölünmüş Yolu İşi</v>
      </c>
      <c r="H7" s="546"/>
      <c r="I7" s="546"/>
      <c r="J7" s="546"/>
      <c r="K7" s="546"/>
      <c r="L7" s="546"/>
      <c r="M7" s="546"/>
      <c r="N7" s="546"/>
      <c r="O7" s="546"/>
      <c r="P7" s="546"/>
      <c r="Q7" s="546"/>
      <c r="R7" s="546"/>
      <c r="S7" s="546"/>
      <c r="T7" s="547"/>
      <c r="U7" s="542" t="s">
        <v>97</v>
      </c>
      <c r="V7" s="542"/>
      <c r="W7" s="542"/>
      <c r="X7" s="542"/>
      <c r="Y7" s="542"/>
      <c r="Z7" s="532">
        <f>'5 BSK'!$S$8</f>
        <v>41750</v>
      </c>
      <c r="AA7" s="533"/>
      <c r="AB7" s="533"/>
      <c r="AC7" s="533"/>
      <c r="AD7" s="533"/>
      <c r="AE7" s="533"/>
      <c r="AF7" s="533"/>
      <c r="AG7" s="532"/>
      <c r="AI7" s="330"/>
      <c r="AJ7" s="330"/>
      <c r="AK7" s="330"/>
      <c r="AL7" s="330"/>
      <c r="AM7" s="330"/>
      <c r="AN7" s="330"/>
      <c r="AO7" s="330"/>
      <c r="AP7" s="330"/>
      <c r="AQ7" s="330"/>
      <c r="AR7" s="330"/>
      <c r="AS7" s="330"/>
      <c r="AT7" s="330"/>
      <c r="AU7" s="330"/>
      <c r="AV7" s="330"/>
      <c r="AW7" s="330"/>
      <c r="AX7" s="330"/>
      <c r="AY7" s="330"/>
      <c r="AZ7" s="330"/>
      <c r="BA7" s="330"/>
      <c r="BB7" s="330"/>
      <c r="BC7" s="330"/>
      <c r="BD7" s="330"/>
      <c r="BE7" s="330"/>
      <c r="BF7" s="330"/>
      <c r="BG7" s="330"/>
      <c r="BH7" s="330"/>
      <c r="BI7" s="330"/>
      <c r="BJ7" s="330"/>
      <c r="BK7" s="330"/>
      <c r="BL7" s="330"/>
    </row>
    <row r="8" spans="1:68" ht="14.1" customHeight="1" x14ac:dyDescent="0.25">
      <c r="A8" s="543"/>
      <c r="B8" s="544"/>
      <c r="C8" s="544"/>
      <c r="D8" s="544"/>
      <c r="E8" s="544"/>
      <c r="F8" s="544"/>
      <c r="G8" s="548"/>
      <c r="H8" s="549"/>
      <c r="I8" s="549"/>
      <c r="J8" s="549"/>
      <c r="K8" s="549"/>
      <c r="L8" s="549"/>
      <c r="M8" s="549"/>
      <c r="N8" s="549"/>
      <c r="O8" s="549"/>
      <c r="P8" s="549"/>
      <c r="Q8" s="549"/>
      <c r="R8" s="549"/>
      <c r="S8" s="549"/>
      <c r="T8" s="550"/>
      <c r="U8" s="544" t="s">
        <v>272</v>
      </c>
      <c r="V8" s="544"/>
      <c r="W8" s="544"/>
      <c r="X8" s="544"/>
      <c r="Y8" s="544"/>
      <c r="Z8" s="529" t="str">
        <f>'5 BSK'!$S$7&amp;" - "&amp;TEXT('5 BSK'!S9,"GG.AA.YYYY")</f>
        <v>5 - 22.04.2014</v>
      </c>
      <c r="AA8" s="530"/>
      <c r="AB8" s="530"/>
      <c r="AC8" s="530"/>
      <c r="AD8" s="530"/>
      <c r="AE8" s="530"/>
      <c r="AF8" s="530"/>
      <c r="AG8" s="529"/>
      <c r="AI8" s="330"/>
      <c r="AJ8" s="330"/>
      <c r="AK8" s="330"/>
      <c r="AL8" s="330"/>
      <c r="AM8" s="330"/>
      <c r="AN8" s="330"/>
      <c r="AO8" s="330"/>
      <c r="AP8" s="330"/>
      <c r="AQ8" s="330"/>
      <c r="AR8" s="330"/>
      <c r="AS8" s="330"/>
      <c r="AT8" s="330"/>
      <c r="AU8" s="330"/>
      <c r="AV8" s="330"/>
      <c r="AW8" s="330"/>
      <c r="AX8" s="330"/>
      <c r="AY8" s="330"/>
      <c r="AZ8" s="330"/>
      <c r="BA8" s="330"/>
      <c r="BB8" s="330"/>
      <c r="BC8" s="330"/>
      <c r="BD8" s="330"/>
      <c r="BE8" s="330"/>
      <c r="BF8" s="330"/>
      <c r="BG8" s="330"/>
      <c r="BH8" s="330"/>
      <c r="BI8" s="330"/>
      <c r="BJ8" s="330"/>
      <c r="BK8" s="330"/>
      <c r="BL8" s="330"/>
    </row>
    <row r="9" spans="1:68" ht="14.1" customHeight="1" x14ac:dyDescent="0.25">
      <c r="A9" s="551" t="s">
        <v>274</v>
      </c>
      <c r="B9" s="552"/>
      <c r="C9" s="552"/>
      <c r="D9" s="552"/>
      <c r="E9" s="552"/>
      <c r="F9" s="552"/>
      <c r="G9" s="530" t="str">
        <f>PROPER('5 BSK'!$S$10&amp;" "&amp;'5 BSK'!$S$11)</f>
        <v>3+300 - 4+000 Sol Taşıma</v>
      </c>
      <c r="H9" s="530"/>
      <c r="I9" s="530"/>
      <c r="J9" s="530"/>
      <c r="K9" s="530"/>
      <c r="L9" s="530"/>
      <c r="M9" s="530"/>
      <c r="N9" s="530"/>
      <c r="O9" s="530"/>
      <c r="P9" s="530"/>
      <c r="Q9" s="530"/>
      <c r="R9" s="530"/>
      <c r="S9" s="530"/>
      <c r="T9" s="530"/>
      <c r="U9" s="544" t="s">
        <v>64</v>
      </c>
      <c r="V9" s="544"/>
      <c r="W9" s="544"/>
      <c r="X9" s="544"/>
      <c r="Y9" s="544"/>
      <c r="Z9" s="529" t="str">
        <f>PROPER(Dizayn!$C$3)</f>
        <v>Keşan Şantiyesi</v>
      </c>
      <c r="AA9" s="530"/>
      <c r="AB9" s="530"/>
      <c r="AC9" s="530"/>
      <c r="AD9" s="530"/>
      <c r="AE9" s="530"/>
      <c r="AF9" s="530"/>
      <c r="AG9" s="529"/>
      <c r="AI9" s="330"/>
      <c r="AJ9" s="330"/>
      <c r="AK9" s="330"/>
      <c r="AL9" s="330"/>
      <c r="AM9" s="330"/>
      <c r="AN9" s="330"/>
      <c r="AO9" s="330"/>
      <c r="AP9" s="330"/>
      <c r="AQ9" s="330"/>
      <c r="AR9" s="330"/>
      <c r="AS9" s="330"/>
      <c r="AT9" s="330"/>
      <c r="AU9" s="330"/>
      <c r="AV9" s="330"/>
      <c r="AW9" s="330"/>
      <c r="AX9" s="330"/>
      <c r="AY9" s="330"/>
      <c r="AZ9" s="330"/>
      <c r="BA9" s="330"/>
      <c r="BB9" s="330"/>
      <c r="BC9" s="330"/>
      <c r="BD9" s="330"/>
      <c r="BE9" s="330"/>
      <c r="BF9" s="330"/>
      <c r="BG9" s="330"/>
      <c r="BH9" s="330"/>
      <c r="BI9" s="330"/>
      <c r="BJ9" s="330"/>
      <c r="BK9" s="330"/>
      <c r="BL9" s="330"/>
    </row>
    <row r="10" spans="1:68" ht="14.1" customHeight="1" x14ac:dyDescent="0.25">
      <c r="A10" s="553" t="s">
        <v>273</v>
      </c>
      <c r="B10" s="554"/>
      <c r="C10" s="554"/>
      <c r="D10" s="554"/>
      <c r="E10" s="554"/>
      <c r="F10" s="554"/>
      <c r="G10" s="564" t="str">
        <f>PROPER(Dizayn!$C$6)</f>
        <v>Binder</v>
      </c>
      <c r="H10" s="564"/>
      <c r="I10" s="564"/>
      <c r="J10" s="564"/>
      <c r="K10" s="564"/>
      <c r="L10" s="564"/>
      <c r="M10" s="564"/>
      <c r="N10" s="564"/>
      <c r="O10" s="564"/>
      <c r="P10" s="564"/>
      <c r="Q10" s="564"/>
      <c r="R10" s="564"/>
      <c r="S10" s="564"/>
      <c r="T10" s="564"/>
      <c r="U10" s="554" t="s">
        <v>265</v>
      </c>
      <c r="V10" s="554"/>
      <c r="W10" s="554"/>
      <c r="X10" s="554"/>
      <c r="Y10" s="554"/>
      <c r="Z10" s="537" t="str">
        <f>PROPER(Dizayn!$C$5)</f>
        <v>Çeltik T.O.</v>
      </c>
      <c r="AA10" s="538"/>
      <c r="AB10" s="538"/>
      <c r="AC10" s="538"/>
      <c r="AD10" s="538"/>
      <c r="AE10" s="538"/>
      <c r="AF10" s="538"/>
      <c r="AG10" s="537"/>
      <c r="AI10" s="331"/>
      <c r="AJ10" s="332"/>
      <c r="AK10" s="332"/>
      <c r="AL10" s="332"/>
      <c r="AM10" s="332"/>
      <c r="AN10" s="332"/>
      <c r="AO10" s="332"/>
      <c r="AP10" s="332"/>
      <c r="AQ10" s="332"/>
      <c r="AR10" s="332"/>
      <c r="AS10" s="332"/>
      <c r="AT10" s="332"/>
      <c r="AU10" s="332"/>
      <c r="AV10" s="332"/>
      <c r="AW10" s="332"/>
      <c r="AX10" s="332"/>
      <c r="AY10" s="332"/>
      <c r="AZ10" s="332"/>
      <c r="BA10" s="332"/>
      <c r="BB10" s="332"/>
      <c r="BC10" s="332"/>
      <c r="BD10" s="332"/>
      <c r="BE10" s="332"/>
      <c r="BF10" s="332"/>
      <c r="BG10" s="332"/>
      <c r="BH10" s="332"/>
      <c r="BI10" s="332"/>
      <c r="BJ10" s="332"/>
      <c r="BK10" s="332"/>
      <c r="BL10" s="332"/>
    </row>
    <row r="11" spans="1:68" ht="14.1" customHeight="1" x14ac:dyDescent="0.25">
      <c r="A11" s="722" t="s">
        <v>147</v>
      </c>
      <c r="B11" s="723"/>
      <c r="C11" s="723"/>
      <c r="D11" s="723"/>
      <c r="E11" s="723"/>
      <c r="F11" s="723"/>
      <c r="G11" s="723"/>
      <c r="H11" s="723"/>
      <c r="I11" s="723"/>
      <c r="J11" s="723"/>
      <c r="K11" s="723"/>
      <c r="L11" s="723"/>
      <c r="M11" s="723"/>
      <c r="N11" s="723"/>
      <c r="O11" s="723"/>
      <c r="P11" s="723"/>
      <c r="Q11" s="723"/>
      <c r="R11" s="723"/>
      <c r="S11" s="723"/>
      <c r="T11" s="723"/>
      <c r="U11" s="723"/>
      <c r="V11" s="723"/>
      <c r="W11" s="723"/>
      <c r="X11" s="723"/>
      <c r="Y11" s="723"/>
      <c r="Z11" s="724"/>
      <c r="AA11" s="723"/>
      <c r="AB11" s="723"/>
      <c r="AC11" s="723"/>
      <c r="AD11" s="723"/>
      <c r="AE11" s="723"/>
      <c r="AF11" s="723"/>
      <c r="AG11" s="724"/>
      <c r="AI11" s="745" t="s">
        <v>228</v>
      </c>
      <c r="AJ11" s="746"/>
      <c r="AK11" s="746"/>
      <c r="AL11" s="746"/>
      <c r="AM11" s="746"/>
      <c r="AN11" s="746"/>
      <c r="AO11" s="746"/>
      <c r="AP11" s="746"/>
      <c r="AQ11" s="746"/>
      <c r="AR11" s="746"/>
      <c r="AS11" s="746"/>
      <c r="AT11" s="746"/>
      <c r="AU11" s="746"/>
      <c r="AV11" s="746"/>
      <c r="AW11" s="746"/>
      <c r="AX11" s="746"/>
      <c r="AY11" s="746"/>
      <c r="AZ11" s="746"/>
      <c r="BA11" s="746"/>
      <c r="BB11" s="746"/>
      <c r="BC11" s="746"/>
      <c r="BD11" s="746"/>
      <c r="BE11" s="746"/>
      <c r="BF11" s="746"/>
      <c r="BG11" s="746"/>
      <c r="BH11" s="746"/>
      <c r="BI11" s="746"/>
      <c r="BJ11" s="746"/>
      <c r="BK11" s="746"/>
      <c r="BL11" s="747"/>
    </row>
    <row r="12" spans="1:68" ht="14.1" customHeight="1" x14ac:dyDescent="0.25">
      <c r="A12" s="727" t="s">
        <v>161</v>
      </c>
      <c r="B12" s="729" t="s">
        <v>148</v>
      </c>
      <c r="C12" s="730"/>
      <c r="D12" s="733" t="s">
        <v>149</v>
      </c>
      <c r="E12" s="734"/>
      <c r="F12" s="734"/>
      <c r="G12" s="734"/>
      <c r="H12" s="734"/>
      <c r="I12" s="734"/>
      <c r="J12" s="734"/>
      <c r="K12" s="735"/>
      <c r="L12" s="714" t="s">
        <v>278</v>
      </c>
      <c r="M12" s="715"/>
      <c r="N12" s="716"/>
      <c r="O12" s="714" t="s">
        <v>189</v>
      </c>
      <c r="P12" s="716"/>
      <c r="Q12" s="714" t="s">
        <v>279</v>
      </c>
      <c r="R12" s="715"/>
      <c r="S12" s="716"/>
      <c r="T12" s="714" t="s">
        <v>157</v>
      </c>
      <c r="U12" s="715"/>
      <c r="V12" s="716"/>
      <c r="W12" s="714" t="s">
        <v>172</v>
      </c>
      <c r="X12" s="715"/>
      <c r="Y12" s="716"/>
      <c r="Z12" s="736" t="s">
        <v>165</v>
      </c>
      <c r="AA12" s="736"/>
      <c r="AB12" s="736" t="s">
        <v>174</v>
      </c>
      <c r="AC12" s="736"/>
      <c r="AD12" s="736" t="s">
        <v>230</v>
      </c>
      <c r="AE12" s="736"/>
      <c r="AF12" s="736" t="s">
        <v>231</v>
      </c>
      <c r="AG12" s="736"/>
      <c r="AI12" s="766" t="s">
        <v>233</v>
      </c>
      <c r="AJ12" s="767"/>
      <c r="AK12" s="767"/>
      <c r="AL12" s="767"/>
      <c r="AM12" s="768"/>
      <c r="AN12" s="742" t="s">
        <v>224</v>
      </c>
      <c r="AO12" s="743"/>
      <c r="AP12" s="743"/>
      <c r="AQ12" s="743"/>
      <c r="AR12" s="744"/>
      <c r="AS12" s="742" t="s">
        <v>429</v>
      </c>
      <c r="AT12" s="743"/>
      <c r="AU12" s="743"/>
      <c r="AV12" s="743"/>
      <c r="AW12" s="744"/>
      <c r="AX12" s="742" t="s">
        <v>430</v>
      </c>
      <c r="AY12" s="743"/>
      <c r="AZ12" s="743"/>
      <c r="BA12" s="743"/>
      <c r="BB12" s="744"/>
      <c r="BC12" s="742" t="s">
        <v>225</v>
      </c>
      <c r="BD12" s="743"/>
      <c r="BE12" s="743"/>
      <c r="BF12" s="743"/>
      <c r="BG12" s="744"/>
      <c r="BH12" s="742" t="s">
        <v>129</v>
      </c>
      <c r="BI12" s="743"/>
      <c r="BJ12" s="743"/>
      <c r="BK12" s="743"/>
      <c r="BL12" s="744"/>
    </row>
    <row r="13" spans="1:68" ht="14.1" customHeight="1" x14ac:dyDescent="0.25">
      <c r="A13" s="728"/>
      <c r="B13" s="731"/>
      <c r="C13" s="732"/>
      <c r="D13" s="725">
        <v>1</v>
      </c>
      <c r="E13" s="726"/>
      <c r="F13" s="725">
        <v>2</v>
      </c>
      <c r="G13" s="726"/>
      <c r="H13" s="725">
        <v>3</v>
      </c>
      <c r="I13" s="726"/>
      <c r="J13" s="725" t="s">
        <v>151</v>
      </c>
      <c r="K13" s="726"/>
      <c r="L13" s="717"/>
      <c r="M13" s="718"/>
      <c r="N13" s="719"/>
      <c r="O13" s="717"/>
      <c r="P13" s="719"/>
      <c r="Q13" s="717"/>
      <c r="R13" s="718"/>
      <c r="S13" s="719"/>
      <c r="T13" s="717"/>
      <c r="U13" s="718"/>
      <c r="V13" s="719"/>
      <c r="W13" s="717"/>
      <c r="X13" s="718"/>
      <c r="Y13" s="719"/>
      <c r="Z13" s="736"/>
      <c r="AA13" s="736"/>
      <c r="AB13" s="736"/>
      <c r="AC13" s="736"/>
      <c r="AD13" s="736"/>
      <c r="AE13" s="736"/>
      <c r="AF13" s="736"/>
      <c r="AG13" s="736"/>
      <c r="AI13" s="739" t="s">
        <v>224</v>
      </c>
      <c r="AJ13" s="740"/>
      <c r="AK13" s="740"/>
      <c r="AL13" s="740"/>
      <c r="AM13" s="741"/>
      <c r="AN13" s="748" t="s">
        <v>227</v>
      </c>
      <c r="AO13" s="749"/>
      <c r="AP13" s="749"/>
      <c r="AQ13" s="749"/>
      <c r="AR13" s="750"/>
      <c r="AS13" s="748">
        <f ca="1">IFERROR(ABS($AU$44-$AL$44),"")</f>
        <v>2.7000000000000028</v>
      </c>
      <c r="AT13" s="749"/>
      <c r="AU13" s="749"/>
      <c r="AV13" s="749"/>
      <c r="AW13" s="750"/>
      <c r="AX13" s="748">
        <f ca="1">IFERROR(ABS($AY$44-$AL$44),"")</f>
        <v>1.8999999999999986</v>
      </c>
      <c r="AY13" s="749"/>
      <c r="AZ13" s="749"/>
      <c r="BA13" s="749"/>
      <c r="BB13" s="750"/>
      <c r="BC13" s="748">
        <f ca="1">IFERROR(ABS($AU$44-$BH$44),"")</f>
        <v>0.20000000000000284</v>
      </c>
      <c r="BD13" s="749"/>
      <c r="BE13" s="749"/>
      <c r="BF13" s="749"/>
      <c r="BG13" s="750"/>
      <c r="BH13" s="748">
        <f>IFERROR(ABS($O$48-$AL$45),"")</f>
        <v>0.30000000000000426</v>
      </c>
      <c r="BI13" s="749"/>
      <c r="BJ13" s="749"/>
      <c r="BK13" s="749"/>
      <c r="BL13" s="750"/>
    </row>
    <row r="14" spans="1:68" ht="14.1" customHeight="1" x14ac:dyDescent="0.25">
      <c r="A14" s="297">
        <v>1</v>
      </c>
      <c r="B14" s="639">
        <v>150</v>
      </c>
      <c r="C14" s="640"/>
      <c r="D14" s="641">
        <v>62.5</v>
      </c>
      <c r="E14" s="642"/>
      <c r="F14" s="641">
        <v>62.6</v>
      </c>
      <c r="G14" s="642"/>
      <c r="H14" s="641">
        <v>62.5</v>
      </c>
      <c r="I14" s="642"/>
      <c r="J14" s="663">
        <f t="shared" ref="J14:J33" si="0">IF(ISNUMBER(D14),AVERAGE(D14,F14,H14),"")</f>
        <v>62.533333333333331</v>
      </c>
      <c r="K14" s="665"/>
      <c r="L14" s="666">
        <v>1179.8</v>
      </c>
      <c r="M14" s="667"/>
      <c r="N14" s="668"/>
      <c r="O14" s="666">
        <v>682.8</v>
      </c>
      <c r="P14" s="668"/>
      <c r="Q14" s="666">
        <v>1190.8</v>
      </c>
      <c r="R14" s="667"/>
      <c r="S14" s="668"/>
      <c r="T14" s="663">
        <f t="shared" ref="T14:T33" si="1">IF(ISNUMBER(Q14),IFERROR(Q14-O14,""),"")</f>
        <v>508</v>
      </c>
      <c r="U14" s="664"/>
      <c r="V14" s="665"/>
      <c r="W14" s="645" t="str">
        <f>IFERROR(
IF(OR(L14/T14&lt;'5 BSK'!$I$21-0.01,L14/T14&gt;'5 BSK'!$I$21+0.01),ROUND(L14/T14,3)&amp;"X",L14/T14),"")</f>
        <v>2,322X</v>
      </c>
      <c r="X14" s="650"/>
      <c r="Y14" s="646"/>
      <c r="Z14" s="721">
        <v>2.95</v>
      </c>
      <c r="AA14" s="721"/>
      <c r="AB14" s="720">
        <v>1190</v>
      </c>
      <c r="AC14" s="720"/>
      <c r="AD14" s="662" t="str">
        <f>IF(ISNUMBER(W14),IFERROR(VLOOKUP(J14,KATSAYILAR!A2:B202,2)/1000,""),"")</f>
        <v/>
      </c>
      <c r="AE14" s="662"/>
      <c r="AF14" s="647" t="str">
        <f>IFERROR(IF(ISNUMBER(W14),AB14*AD14,""),"X")</f>
        <v/>
      </c>
      <c r="AG14" s="647"/>
      <c r="AI14" s="739" t="s">
        <v>431</v>
      </c>
      <c r="AJ14" s="740"/>
      <c r="AK14" s="740"/>
      <c r="AL14" s="740"/>
      <c r="AM14" s="741"/>
      <c r="AN14" s="748">
        <f ca="1">IFERROR(ABS($AU$44-$AL$44),"")</f>
        <v>2.7000000000000028</v>
      </c>
      <c r="AO14" s="749"/>
      <c r="AP14" s="749"/>
      <c r="AQ14" s="749"/>
      <c r="AR14" s="750"/>
      <c r="AS14" s="748" t="s">
        <v>227</v>
      </c>
      <c r="AT14" s="749"/>
      <c r="AU14" s="749"/>
      <c r="AV14" s="749"/>
      <c r="AW14" s="750"/>
      <c r="AX14" s="748">
        <f ca="1">IFERROR(ABS($AY$44-$AU$44),"")</f>
        <v>4.6000000000000014</v>
      </c>
      <c r="AY14" s="749"/>
      <c r="AZ14" s="749"/>
      <c r="BA14" s="749"/>
      <c r="BB14" s="750"/>
      <c r="BC14" s="748">
        <f ca="1">IFERROR(ABS($AU$44-$BH$44),"")</f>
        <v>0.20000000000000284</v>
      </c>
      <c r="BD14" s="749"/>
      <c r="BE14" s="749"/>
      <c r="BF14" s="749"/>
      <c r="BG14" s="750"/>
      <c r="BH14" s="748">
        <f>IFERROR(ABS($O$47-$AL$44),"")</f>
        <v>0.30000000000000426</v>
      </c>
      <c r="BI14" s="749"/>
      <c r="BJ14" s="749"/>
      <c r="BK14" s="749"/>
      <c r="BL14" s="750"/>
      <c r="BN14" s="4"/>
      <c r="BO14" s="4"/>
      <c r="BP14" s="4"/>
    </row>
    <row r="15" spans="1:68" ht="14.1" customHeight="1" x14ac:dyDescent="0.25">
      <c r="A15" s="286">
        <v>2</v>
      </c>
      <c r="B15" s="639">
        <v>150</v>
      </c>
      <c r="C15" s="640"/>
      <c r="D15" s="641">
        <v>62.8</v>
      </c>
      <c r="E15" s="642"/>
      <c r="F15" s="641">
        <v>62.8</v>
      </c>
      <c r="G15" s="642"/>
      <c r="H15" s="641">
        <v>62.8</v>
      </c>
      <c r="I15" s="642"/>
      <c r="J15" s="663">
        <f t="shared" si="0"/>
        <v>62.79999999999999</v>
      </c>
      <c r="K15" s="665"/>
      <c r="L15" s="666">
        <v>1181.8</v>
      </c>
      <c r="M15" s="667"/>
      <c r="N15" s="668"/>
      <c r="O15" s="666">
        <v>685.8</v>
      </c>
      <c r="P15" s="668"/>
      <c r="Q15" s="666">
        <v>1182.9000000000001</v>
      </c>
      <c r="R15" s="667"/>
      <c r="S15" s="668"/>
      <c r="T15" s="663">
        <f t="shared" si="1"/>
        <v>497.10000000000014</v>
      </c>
      <c r="U15" s="664"/>
      <c r="V15" s="665"/>
      <c r="W15" s="645">
        <f>IFERROR(
IF(OR(L15/T15&lt;'5 BSK'!$I$21-0.01,L15/T15&gt;'5 BSK'!$I$21+0.01),ROUND(L15/T15,3)&amp;"X",L15/T15),"")</f>
        <v>2.3773888553610938</v>
      </c>
      <c r="X15" s="650"/>
      <c r="Y15" s="646"/>
      <c r="Z15" s="721">
        <v>3.35</v>
      </c>
      <c r="AA15" s="721"/>
      <c r="AB15" s="720">
        <v>1155</v>
      </c>
      <c r="AC15" s="720"/>
      <c r="AD15" s="662">
        <f>IF(ISNUMBER(W15),IFERROR(VLOOKUP(J15,KATSAYILAR!A3:B203,2)/1000,""),"")</f>
        <v>1.018</v>
      </c>
      <c r="AE15" s="662"/>
      <c r="AF15" s="647">
        <f t="shared" ref="AF15:AF33" si="2">IFERROR(IF(ISNUMBER(W15),AB15*AD15,""),"X")</f>
        <v>1175.79</v>
      </c>
      <c r="AG15" s="647"/>
      <c r="AI15" s="739" t="s">
        <v>432</v>
      </c>
      <c r="AJ15" s="740"/>
      <c r="AK15" s="740"/>
      <c r="AL15" s="740"/>
      <c r="AM15" s="741"/>
      <c r="AN15" s="748">
        <f ca="1">IFERROR(ABS($AY$44-$AL$44),"")</f>
        <v>1.8999999999999986</v>
      </c>
      <c r="AO15" s="749"/>
      <c r="AP15" s="749"/>
      <c r="AQ15" s="749"/>
      <c r="AR15" s="750"/>
      <c r="AS15" s="748">
        <f ca="1">IFERROR(ABS($AY$44-$AU$44),"")</f>
        <v>4.6000000000000014</v>
      </c>
      <c r="AT15" s="749"/>
      <c r="AU15" s="749"/>
      <c r="AV15" s="749"/>
      <c r="AW15" s="750"/>
      <c r="AX15" s="748" t="s">
        <v>227</v>
      </c>
      <c r="AY15" s="749"/>
      <c r="AZ15" s="749"/>
      <c r="BA15" s="749"/>
      <c r="BB15" s="750"/>
      <c r="BC15" s="748">
        <f ca="1">IFERROR(ABS($AY$44-$BH$44),"")</f>
        <v>4.8000000000000043</v>
      </c>
      <c r="BD15" s="749"/>
      <c r="BE15" s="749"/>
      <c r="BF15" s="749"/>
      <c r="BG15" s="750"/>
      <c r="BH15" s="748">
        <f ca="1">IFERROR(ABS($O$47-$AY$44),"")</f>
        <v>2.2000000000000028</v>
      </c>
      <c r="BI15" s="749"/>
      <c r="BJ15" s="749"/>
      <c r="BK15" s="749"/>
      <c r="BL15" s="750"/>
      <c r="BN15" s="4"/>
      <c r="BO15" s="4"/>
      <c r="BP15" s="4"/>
    </row>
    <row r="16" spans="1:68" ht="14.1" customHeight="1" x14ac:dyDescent="0.25">
      <c r="A16" s="286">
        <v>3</v>
      </c>
      <c r="B16" s="639">
        <v>150</v>
      </c>
      <c r="C16" s="640"/>
      <c r="D16" s="641">
        <v>62.7</v>
      </c>
      <c r="E16" s="642"/>
      <c r="F16" s="641">
        <v>62.7</v>
      </c>
      <c r="G16" s="642"/>
      <c r="H16" s="641">
        <v>62.6</v>
      </c>
      <c r="I16" s="642"/>
      <c r="J16" s="663">
        <f t="shared" si="0"/>
        <v>62.666666666666664</v>
      </c>
      <c r="K16" s="665"/>
      <c r="L16" s="666">
        <v>1192.8</v>
      </c>
      <c r="M16" s="667"/>
      <c r="N16" s="668"/>
      <c r="O16" s="666">
        <v>689.8</v>
      </c>
      <c r="P16" s="668"/>
      <c r="Q16" s="666">
        <v>1194</v>
      </c>
      <c r="R16" s="667"/>
      <c r="S16" s="668"/>
      <c r="T16" s="663">
        <f t="shared" si="1"/>
        <v>504.20000000000005</v>
      </c>
      <c r="U16" s="664"/>
      <c r="V16" s="665"/>
      <c r="W16" s="645">
        <f>IFERROR(
IF(OR(L16/T16&lt;'5 BSK'!$I$21-0.01,L16/T16&gt;'5 BSK'!$I$21+0.01),ROUND(L16/T16,3)&amp;"X",L16/T16),"")</f>
        <v>2.3657278857596187</v>
      </c>
      <c r="X16" s="650"/>
      <c r="Y16" s="646"/>
      <c r="Z16" s="721">
        <v>3.15</v>
      </c>
      <c r="AA16" s="721"/>
      <c r="AB16" s="720">
        <v>1160</v>
      </c>
      <c r="AC16" s="720"/>
      <c r="AD16" s="662">
        <f>IF(ISNUMBER(W16),IFERROR(VLOOKUP(J16,KATSAYILAR!A4:B204,2)/1000,""),"")</f>
        <v>1.0229999999999999</v>
      </c>
      <c r="AE16" s="662"/>
      <c r="AF16" s="647">
        <f t="shared" si="2"/>
        <v>1186.6799999999998</v>
      </c>
      <c r="AG16" s="647"/>
      <c r="AI16" s="739" t="s">
        <v>225</v>
      </c>
      <c r="AJ16" s="740"/>
      <c r="AK16" s="740"/>
      <c r="AL16" s="740"/>
      <c r="AM16" s="741"/>
      <c r="AN16" s="748">
        <f ca="1">IFERROR(ABS($BH$44-$AL$44),"")</f>
        <v>2.9000000000000057</v>
      </c>
      <c r="AO16" s="749"/>
      <c r="AP16" s="749"/>
      <c r="AQ16" s="749"/>
      <c r="AR16" s="750"/>
      <c r="AS16" s="748">
        <f ca="1">IFERROR(ABS($AU$44-$BH$44),"")</f>
        <v>0.20000000000000284</v>
      </c>
      <c r="AT16" s="749"/>
      <c r="AU16" s="749"/>
      <c r="AV16" s="749"/>
      <c r="AW16" s="750"/>
      <c r="AX16" s="748">
        <f ca="1">IFERROR(ABS($AY$44-$BH$44),"")</f>
        <v>4.8000000000000043</v>
      </c>
      <c r="AY16" s="749"/>
      <c r="AZ16" s="749"/>
      <c r="BA16" s="749"/>
      <c r="BB16" s="750"/>
      <c r="BC16" s="748" t="s">
        <v>227</v>
      </c>
      <c r="BD16" s="749"/>
      <c r="BE16" s="749"/>
      <c r="BF16" s="749"/>
      <c r="BG16" s="750"/>
      <c r="BH16" s="748">
        <f ca="1">IFERROR(ABS($O$47-$BH$44),"")</f>
        <v>2.6000000000000014</v>
      </c>
      <c r="BI16" s="749"/>
      <c r="BJ16" s="749"/>
      <c r="BK16" s="749"/>
      <c r="BL16" s="750"/>
      <c r="BN16" s="4"/>
      <c r="BO16" s="4"/>
      <c r="BP16" s="4"/>
    </row>
    <row r="17" spans="1:68" ht="14.1" customHeight="1" x14ac:dyDescent="0.25">
      <c r="A17" s="286">
        <v>4</v>
      </c>
      <c r="B17" s="639">
        <v>150</v>
      </c>
      <c r="C17" s="640"/>
      <c r="D17" s="641">
        <v>62.6</v>
      </c>
      <c r="E17" s="642"/>
      <c r="F17" s="641">
        <v>62.6</v>
      </c>
      <c r="G17" s="642"/>
      <c r="H17" s="641">
        <v>62.6</v>
      </c>
      <c r="I17" s="642"/>
      <c r="J17" s="663">
        <f t="shared" si="0"/>
        <v>62.6</v>
      </c>
      <c r="K17" s="665"/>
      <c r="L17" s="666">
        <v>1187</v>
      </c>
      <c r="M17" s="667"/>
      <c r="N17" s="668"/>
      <c r="O17" s="666">
        <v>687</v>
      </c>
      <c r="P17" s="668"/>
      <c r="Q17" s="666">
        <v>1188.0999999999999</v>
      </c>
      <c r="R17" s="667"/>
      <c r="S17" s="668"/>
      <c r="T17" s="663">
        <f t="shared" si="1"/>
        <v>501.09999999999991</v>
      </c>
      <c r="U17" s="664"/>
      <c r="V17" s="665"/>
      <c r="W17" s="645">
        <f>IFERROR(
IF(OR(L17/T17&lt;'5 BSK'!$I$21-0.01,L17/T17&gt;'5 BSK'!$I$21+0.01),ROUND(L17/T17,3)&amp;"X",L17/T17),"")</f>
        <v>2.3687886649371386</v>
      </c>
      <c r="X17" s="650"/>
      <c r="Y17" s="646"/>
      <c r="Z17" s="721">
        <v>3.6</v>
      </c>
      <c r="AA17" s="721"/>
      <c r="AB17" s="720">
        <v>1140</v>
      </c>
      <c r="AC17" s="720"/>
      <c r="AD17" s="662">
        <f>IF(ISNUMBER(W17),IFERROR(VLOOKUP(J17,KATSAYILAR!A5:B205,2)/1000,""),"")</f>
        <v>1.0229999999999999</v>
      </c>
      <c r="AE17" s="662"/>
      <c r="AF17" s="647">
        <f t="shared" si="2"/>
        <v>1166.2199999999998</v>
      </c>
      <c r="AG17" s="647"/>
      <c r="AI17" s="739" t="s">
        <v>129</v>
      </c>
      <c r="AJ17" s="740"/>
      <c r="AK17" s="740"/>
      <c r="AL17" s="740"/>
      <c r="AM17" s="741"/>
      <c r="AN17" s="748">
        <f>IFERROR(ABS(AL44-$O$47),"")</f>
        <v>0.30000000000000426</v>
      </c>
      <c r="AO17" s="749"/>
      <c r="AP17" s="749"/>
      <c r="AQ17" s="749"/>
      <c r="AR17" s="750"/>
      <c r="AS17" s="748">
        <f ca="1">IFERROR(ABS(AU44-$O$47),"")</f>
        <v>2.3999999999999986</v>
      </c>
      <c r="AT17" s="749"/>
      <c r="AU17" s="749"/>
      <c r="AV17" s="749"/>
      <c r="AW17" s="750"/>
      <c r="AX17" s="748">
        <f ca="1">IFERROR(ABS(AY44-$O$47),"")</f>
        <v>2.2000000000000028</v>
      </c>
      <c r="AY17" s="749"/>
      <c r="AZ17" s="749"/>
      <c r="BA17" s="749"/>
      <c r="BB17" s="750"/>
      <c r="BC17" s="748">
        <f ca="1">IFERROR(ABS(BH44-$O$47),"")</f>
        <v>2.6000000000000014</v>
      </c>
      <c r="BD17" s="749"/>
      <c r="BE17" s="749"/>
      <c r="BF17" s="749"/>
      <c r="BG17" s="750"/>
      <c r="BH17" s="748" t="s">
        <v>227</v>
      </c>
      <c r="BI17" s="749"/>
      <c r="BJ17" s="749"/>
      <c r="BK17" s="749"/>
      <c r="BL17" s="750"/>
      <c r="BN17" s="4"/>
      <c r="BO17" s="4"/>
      <c r="BP17" s="4"/>
    </row>
    <row r="18" spans="1:68" ht="14.1" customHeight="1" x14ac:dyDescent="0.25">
      <c r="A18" s="286">
        <v>5</v>
      </c>
      <c r="B18" s="639">
        <v>150</v>
      </c>
      <c r="C18" s="640"/>
      <c r="D18" s="641">
        <v>62.8</v>
      </c>
      <c r="E18" s="642"/>
      <c r="F18" s="641">
        <v>62.8</v>
      </c>
      <c r="G18" s="642"/>
      <c r="H18" s="641">
        <v>62.8</v>
      </c>
      <c r="I18" s="642"/>
      <c r="J18" s="663">
        <f t="shared" si="0"/>
        <v>62.79999999999999</v>
      </c>
      <c r="K18" s="665"/>
      <c r="L18" s="666">
        <v>1184.0999999999999</v>
      </c>
      <c r="M18" s="667"/>
      <c r="N18" s="668"/>
      <c r="O18" s="666">
        <v>686.8</v>
      </c>
      <c r="P18" s="668"/>
      <c r="Q18" s="666">
        <v>1184.7</v>
      </c>
      <c r="R18" s="667"/>
      <c r="S18" s="668"/>
      <c r="T18" s="663">
        <f t="shared" si="1"/>
        <v>497.90000000000009</v>
      </c>
      <c r="U18" s="664"/>
      <c r="V18" s="665"/>
      <c r="W18" s="645">
        <f>IFERROR(
IF(OR(L18/T18&lt;'5 BSK'!$I$21-0.01,L18/T18&gt;'5 BSK'!$I$21+0.01),ROUND(L18/T18,3)&amp;"X",L18/T18),"")</f>
        <v>2.3781883912432211</v>
      </c>
      <c r="X18" s="650"/>
      <c r="Y18" s="646"/>
      <c r="Z18" s="721">
        <v>3.2</v>
      </c>
      <c r="AA18" s="721"/>
      <c r="AB18" s="720">
        <v>1125</v>
      </c>
      <c r="AC18" s="720"/>
      <c r="AD18" s="662">
        <f>IF(ISNUMBER(W18),IFERROR(VLOOKUP(J18,KATSAYILAR!A6:B206,2)/1000,""),"")</f>
        <v>1.018</v>
      </c>
      <c r="AE18" s="662"/>
      <c r="AF18" s="647">
        <f t="shared" si="2"/>
        <v>1145.25</v>
      </c>
      <c r="AG18" s="647"/>
      <c r="AI18" s="373"/>
      <c r="AJ18" s="373"/>
      <c r="AK18" s="373"/>
      <c r="AL18" s="373"/>
      <c r="AM18" s="373"/>
      <c r="AN18" s="333"/>
      <c r="AO18" s="333"/>
      <c r="AP18" s="333"/>
      <c r="AQ18" s="333"/>
      <c r="AR18" s="333"/>
      <c r="AS18" s="333"/>
      <c r="AT18" s="333"/>
      <c r="AU18" s="333"/>
      <c r="AV18" s="333"/>
      <c r="AW18" s="333"/>
      <c r="AX18" s="333"/>
      <c r="AY18" s="333"/>
      <c r="AZ18" s="333"/>
      <c r="BA18" s="333"/>
      <c r="BB18" s="333"/>
      <c r="BC18" s="333"/>
      <c r="BD18" s="333"/>
      <c r="BE18" s="333"/>
      <c r="BF18" s="333"/>
      <c r="BG18" s="333"/>
      <c r="BH18" s="333"/>
      <c r="BI18" s="333"/>
      <c r="BJ18" s="333"/>
      <c r="BK18" s="333"/>
      <c r="BL18" s="333"/>
      <c r="BN18" s="4"/>
      <c r="BO18" s="4"/>
      <c r="BP18" s="4"/>
    </row>
    <row r="19" spans="1:68" ht="14.1" customHeight="1" x14ac:dyDescent="0.25">
      <c r="A19" s="286">
        <v>6</v>
      </c>
      <c r="B19" s="639">
        <v>150</v>
      </c>
      <c r="C19" s="640"/>
      <c r="D19" s="641">
        <v>62.8</v>
      </c>
      <c r="E19" s="642"/>
      <c r="F19" s="641">
        <v>62.7</v>
      </c>
      <c r="G19" s="642"/>
      <c r="H19" s="641">
        <v>62.8</v>
      </c>
      <c r="I19" s="642"/>
      <c r="J19" s="663">
        <f t="shared" si="0"/>
        <v>62.766666666666673</v>
      </c>
      <c r="K19" s="665"/>
      <c r="L19" s="666">
        <v>1205.3</v>
      </c>
      <c r="M19" s="667"/>
      <c r="N19" s="668"/>
      <c r="O19" s="666">
        <v>698.5</v>
      </c>
      <c r="P19" s="668"/>
      <c r="Q19" s="666">
        <v>1207.8</v>
      </c>
      <c r="R19" s="667"/>
      <c r="S19" s="668"/>
      <c r="T19" s="663">
        <f t="shared" si="1"/>
        <v>509.29999999999995</v>
      </c>
      <c r="U19" s="664"/>
      <c r="V19" s="665"/>
      <c r="W19" s="645">
        <f>IFERROR(
IF(OR(L19/T19&lt;'5 BSK'!$I$21-0.01,L19/T19&gt;'5 BSK'!$I$21+0.01),ROUND(L19/T19,3)&amp;"X",L19/T19),"")</f>
        <v>2.366581582564304</v>
      </c>
      <c r="X19" s="650"/>
      <c r="Y19" s="646"/>
      <c r="Z19" s="721">
        <v>3.25</v>
      </c>
      <c r="AA19" s="721"/>
      <c r="AB19" s="720">
        <v>1135</v>
      </c>
      <c r="AC19" s="720"/>
      <c r="AD19" s="662">
        <f>IF(ISNUMBER(W19),IFERROR(VLOOKUP(J19,KATSAYILAR!A7:B207,2)/1000,""),"")</f>
        <v>1.02</v>
      </c>
      <c r="AE19" s="662"/>
      <c r="AF19" s="647">
        <f t="shared" si="2"/>
        <v>1157.7</v>
      </c>
      <c r="AG19" s="647"/>
      <c r="AI19" s="739" t="s">
        <v>234</v>
      </c>
      <c r="AJ19" s="740"/>
      <c r="AK19" s="740"/>
      <c r="AL19" s="740"/>
      <c r="AM19" s="741"/>
      <c r="AN19" s="745" t="s">
        <v>224</v>
      </c>
      <c r="AO19" s="746"/>
      <c r="AP19" s="746"/>
      <c r="AQ19" s="746"/>
      <c r="AR19" s="747"/>
      <c r="AS19" s="745" t="s">
        <v>429</v>
      </c>
      <c r="AT19" s="746"/>
      <c r="AU19" s="746"/>
      <c r="AV19" s="746"/>
      <c r="AW19" s="747"/>
      <c r="AX19" s="745" t="s">
        <v>430</v>
      </c>
      <c r="AY19" s="746"/>
      <c r="AZ19" s="746"/>
      <c r="BA19" s="746"/>
      <c r="BB19" s="747"/>
      <c r="BC19" s="745" t="s">
        <v>225</v>
      </c>
      <c r="BD19" s="746"/>
      <c r="BE19" s="746"/>
      <c r="BF19" s="746"/>
      <c r="BG19" s="747"/>
      <c r="BH19" s="745" t="s">
        <v>129</v>
      </c>
      <c r="BI19" s="746"/>
      <c r="BJ19" s="746"/>
      <c r="BK19" s="746"/>
      <c r="BL19" s="747"/>
      <c r="BN19" s="4"/>
      <c r="BO19" s="4"/>
      <c r="BP19" s="4"/>
    </row>
    <row r="20" spans="1:68" ht="14.1" customHeight="1" x14ac:dyDescent="0.25">
      <c r="A20" s="286">
        <v>7</v>
      </c>
      <c r="B20" s="639"/>
      <c r="C20" s="640"/>
      <c r="D20" s="643"/>
      <c r="E20" s="644"/>
      <c r="F20" s="643"/>
      <c r="G20" s="644"/>
      <c r="H20" s="643"/>
      <c r="I20" s="644"/>
      <c r="J20" s="663" t="str">
        <f t="shared" si="0"/>
        <v/>
      </c>
      <c r="K20" s="665"/>
      <c r="L20" s="666"/>
      <c r="M20" s="667"/>
      <c r="N20" s="668"/>
      <c r="O20" s="666"/>
      <c r="P20" s="668"/>
      <c r="Q20" s="666"/>
      <c r="R20" s="667"/>
      <c r="S20" s="668"/>
      <c r="T20" s="663" t="str">
        <f t="shared" si="1"/>
        <v/>
      </c>
      <c r="U20" s="664"/>
      <c r="V20" s="665"/>
      <c r="W20" s="645" t="str">
        <f>IFERROR(
IF(OR(L20/T20&lt;'5 BSK'!$I$21-0.01,L20/T20&gt;'5 BSK'!$I$21+0.01),ROUND(L20/T20,3)&amp;"X",L20/T20),"")</f>
        <v/>
      </c>
      <c r="X20" s="650"/>
      <c r="Y20" s="646"/>
      <c r="Z20" s="721"/>
      <c r="AA20" s="721"/>
      <c r="AB20" s="720"/>
      <c r="AC20" s="720"/>
      <c r="AD20" s="662" t="str">
        <f>IF(ISNUMBER(W20),IFERROR(VLOOKUP(J20,KATSAYILAR!A8:B208,2)/1000,""),"")</f>
        <v/>
      </c>
      <c r="AE20" s="662"/>
      <c r="AF20" s="647" t="str">
        <f t="shared" si="2"/>
        <v/>
      </c>
      <c r="AG20" s="647"/>
      <c r="AI20" s="739" t="s">
        <v>224</v>
      </c>
      <c r="AJ20" s="740"/>
      <c r="AK20" s="740"/>
      <c r="AL20" s="740"/>
      <c r="AM20" s="741"/>
      <c r="AN20" s="748" t="s">
        <v>227</v>
      </c>
      <c r="AO20" s="749"/>
      <c r="AP20" s="749"/>
      <c r="AQ20" s="749"/>
      <c r="AR20" s="750"/>
      <c r="AS20" s="748">
        <f ca="1">IFERROR(ABS($AU$45-$AL$45),"")</f>
        <v>2</v>
      </c>
      <c r="AT20" s="749"/>
      <c r="AU20" s="749"/>
      <c r="AV20" s="749"/>
      <c r="AW20" s="750"/>
      <c r="AX20" s="748">
        <f ca="1">IFERROR(ABS($AY$45-$AL$45),"")</f>
        <v>2.6000000000000014</v>
      </c>
      <c r="AY20" s="749"/>
      <c r="AZ20" s="749"/>
      <c r="BA20" s="749"/>
      <c r="BB20" s="750"/>
      <c r="BC20" s="748">
        <f ca="1">IFERROR(ABS($AU$45-$BH$45),"")</f>
        <v>0.7299217096199726</v>
      </c>
      <c r="BD20" s="749"/>
      <c r="BE20" s="749"/>
      <c r="BF20" s="749"/>
      <c r="BG20" s="750"/>
      <c r="BH20" s="748">
        <f>IFERROR(ABS($O$48-$AL$45),"")</f>
        <v>0.30000000000000426</v>
      </c>
      <c r="BI20" s="749"/>
      <c r="BJ20" s="749"/>
      <c r="BK20" s="749"/>
      <c r="BL20" s="750"/>
      <c r="BN20" s="4"/>
      <c r="BO20" s="4"/>
      <c r="BP20" s="4"/>
    </row>
    <row r="21" spans="1:68" ht="14.1" customHeight="1" x14ac:dyDescent="0.25">
      <c r="A21" s="286">
        <v>8</v>
      </c>
      <c r="B21" s="639"/>
      <c r="C21" s="640"/>
      <c r="D21" s="643"/>
      <c r="E21" s="644"/>
      <c r="F21" s="643"/>
      <c r="G21" s="644"/>
      <c r="H21" s="643"/>
      <c r="I21" s="644"/>
      <c r="J21" s="663" t="str">
        <f t="shared" si="0"/>
        <v/>
      </c>
      <c r="K21" s="665"/>
      <c r="L21" s="666"/>
      <c r="M21" s="667"/>
      <c r="N21" s="668"/>
      <c r="O21" s="666"/>
      <c r="P21" s="668"/>
      <c r="Q21" s="666"/>
      <c r="R21" s="667"/>
      <c r="S21" s="668"/>
      <c r="T21" s="663" t="str">
        <f t="shared" si="1"/>
        <v/>
      </c>
      <c r="U21" s="664"/>
      <c r="V21" s="665"/>
      <c r="W21" s="645" t="str">
        <f>IFERROR(
IF(OR(L21/T21&lt;'5 BSK'!$I$21-0.01,L21/T21&gt;'5 BSK'!$I$21+0.01),ROUND(L21/T21,3)&amp;"X",L21/T21),"")</f>
        <v/>
      </c>
      <c r="X21" s="650"/>
      <c r="Y21" s="646"/>
      <c r="Z21" s="721"/>
      <c r="AA21" s="721"/>
      <c r="AB21" s="720"/>
      <c r="AC21" s="720"/>
      <c r="AD21" s="662" t="str">
        <f>IF(ISNUMBER(W21),IFERROR(VLOOKUP(J21,KATSAYILAR!A9:B209,2)/1000,""),"")</f>
        <v/>
      </c>
      <c r="AE21" s="662"/>
      <c r="AF21" s="647" t="str">
        <f t="shared" si="2"/>
        <v/>
      </c>
      <c r="AG21" s="647"/>
      <c r="AI21" s="739" t="s">
        <v>431</v>
      </c>
      <c r="AJ21" s="740"/>
      <c r="AK21" s="740"/>
      <c r="AL21" s="740"/>
      <c r="AM21" s="741"/>
      <c r="AN21" s="748">
        <f ca="1">IFERROR(ABS($AU$45-$AL$45),"")</f>
        <v>2</v>
      </c>
      <c r="AO21" s="749"/>
      <c r="AP21" s="749"/>
      <c r="AQ21" s="749"/>
      <c r="AR21" s="750"/>
      <c r="AS21" s="748" t="s">
        <v>227</v>
      </c>
      <c r="AT21" s="749"/>
      <c r="AU21" s="749"/>
      <c r="AV21" s="749"/>
      <c r="AW21" s="750"/>
      <c r="AX21" s="748">
        <f ca="1">IFERROR(ABS($AY$45-$AU$45),"")</f>
        <v>4.6000000000000014</v>
      </c>
      <c r="AY21" s="749"/>
      <c r="AZ21" s="749"/>
      <c r="BA21" s="749"/>
      <c r="BB21" s="750"/>
      <c r="BC21" s="748">
        <f ca="1">IFERROR(ABS($AU$45-$BH$45),"")</f>
        <v>0.7299217096199726</v>
      </c>
      <c r="BD21" s="749"/>
      <c r="BE21" s="749"/>
      <c r="BF21" s="749"/>
      <c r="BG21" s="750"/>
      <c r="BH21" s="748">
        <f ca="1">IFERROR(ABS($O$48-$AU$45),"")</f>
        <v>1.6999999999999957</v>
      </c>
      <c r="BI21" s="749"/>
      <c r="BJ21" s="749"/>
      <c r="BK21" s="749"/>
      <c r="BL21" s="750"/>
      <c r="BN21" s="4"/>
      <c r="BO21" s="4"/>
      <c r="BP21" s="4"/>
    </row>
    <row r="22" spans="1:68" ht="14.1" customHeight="1" x14ac:dyDescent="0.25">
      <c r="A22" s="286">
        <v>9</v>
      </c>
      <c r="B22" s="639"/>
      <c r="C22" s="640"/>
      <c r="D22" s="643"/>
      <c r="E22" s="644"/>
      <c r="F22" s="643"/>
      <c r="G22" s="644"/>
      <c r="H22" s="643"/>
      <c r="I22" s="644"/>
      <c r="J22" s="663" t="str">
        <f t="shared" ref="J22:J25" si="3">IF(ISNUMBER(D22),AVERAGE(D22,F22,H22),"")</f>
        <v/>
      </c>
      <c r="K22" s="665"/>
      <c r="L22" s="666"/>
      <c r="M22" s="667"/>
      <c r="N22" s="668"/>
      <c r="O22" s="666"/>
      <c r="P22" s="668"/>
      <c r="Q22" s="666"/>
      <c r="R22" s="667"/>
      <c r="S22" s="668"/>
      <c r="T22" s="663" t="str">
        <f t="shared" si="1"/>
        <v/>
      </c>
      <c r="U22" s="664"/>
      <c r="V22" s="665"/>
      <c r="W22" s="645" t="str">
        <f>IFERROR(
IF(OR(L22/T22&lt;'5 BSK'!$I$21-0.01,L22/T22&gt;'5 BSK'!$I$21+0.01),ROUND(L22/T22,3)&amp;"X",L22/T22),"")</f>
        <v/>
      </c>
      <c r="X22" s="650"/>
      <c r="Y22" s="646"/>
      <c r="Z22" s="721"/>
      <c r="AA22" s="721"/>
      <c r="AB22" s="720"/>
      <c r="AC22" s="720"/>
      <c r="AD22" s="662" t="str">
        <f>IF(ISNUMBER(W22),IFERROR(VLOOKUP(J22,KATSAYILAR!A10:B210,2)/1000,""),"")</f>
        <v/>
      </c>
      <c r="AE22" s="662"/>
      <c r="AF22" s="647" t="str">
        <f t="shared" si="2"/>
        <v/>
      </c>
      <c r="AG22" s="647"/>
      <c r="AI22" s="739" t="s">
        <v>432</v>
      </c>
      <c r="AJ22" s="740"/>
      <c r="AK22" s="740"/>
      <c r="AL22" s="740"/>
      <c r="AM22" s="741"/>
      <c r="AN22" s="748">
        <f ca="1">IFERROR(ABS($AY$45-$AL$45),"")</f>
        <v>2.6000000000000014</v>
      </c>
      <c r="AO22" s="749"/>
      <c r="AP22" s="749"/>
      <c r="AQ22" s="749"/>
      <c r="AR22" s="750"/>
      <c r="AS22" s="748">
        <f ca="1">IFERROR(ABS($AY$45-$AU$45),"")</f>
        <v>4.6000000000000014</v>
      </c>
      <c r="AT22" s="749"/>
      <c r="AU22" s="749"/>
      <c r="AV22" s="749"/>
      <c r="AW22" s="750"/>
      <c r="AX22" s="748" t="s">
        <v>227</v>
      </c>
      <c r="AY22" s="749"/>
      <c r="AZ22" s="749"/>
      <c r="BA22" s="749"/>
      <c r="BB22" s="750"/>
      <c r="BC22" s="748">
        <f ca="1">IFERROR(ABS($AY$45-$BH$45),"")</f>
        <v>5.329921709619974</v>
      </c>
      <c r="BD22" s="749"/>
      <c r="BE22" s="749"/>
      <c r="BF22" s="749"/>
      <c r="BG22" s="750"/>
      <c r="BH22" s="748">
        <f ca="1">IFERROR(ABS($O$48-$AY$45),"")</f>
        <v>2.9000000000000057</v>
      </c>
      <c r="BI22" s="749"/>
      <c r="BJ22" s="749"/>
      <c r="BK22" s="749"/>
      <c r="BL22" s="750"/>
      <c r="BN22" s="4"/>
      <c r="BO22" s="4"/>
      <c r="BP22" s="4"/>
    </row>
    <row r="23" spans="1:68" ht="14.1" customHeight="1" x14ac:dyDescent="0.25">
      <c r="A23" s="286">
        <v>10</v>
      </c>
      <c r="B23" s="639"/>
      <c r="C23" s="640"/>
      <c r="D23" s="643"/>
      <c r="E23" s="644"/>
      <c r="F23" s="643"/>
      <c r="G23" s="644"/>
      <c r="H23" s="643"/>
      <c r="I23" s="644"/>
      <c r="J23" s="663" t="str">
        <f t="shared" si="3"/>
        <v/>
      </c>
      <c r="K23" s="665"/>
      <c r="L23" s="666"/>
      <c r="M23" s="667"/>
      <c r="N23" s="668"/>
      <c r="O23" s="666"/>
      <c r="P23" s="668"/>
      <c r="Q23" s="666"/>
      <c r="R23" s="667"/>
      <c r="S23" s="668"/>
      <c r="T23" s="663" t="str">
        <f t="shared" si="1"/>
        <v/>
      </c>
      <c r="U23" s="664"/>
      <c r="V23" s="665"/>
      <c r="W23" s="645" t="str">
        <f>IFERROR(
IF(OR(L23/T23&lt;'5 BSK'!$I$21-0.01,L23/T23&gt;'5 BSK'!$I$21+0.01),ROUND(L23/T23,3)&amp;"X",L23/T23),"")</f>
        <v/>
      </c>
      <c r="X23" s="650"/>
      <c r="Y23" s="646"/>
      <c r="Z23" s="721"/>
      <c r="AA23" s="721"/>
      <c r="AB23" s="720"/>
      <c r="AC23" s="720"/>
      <c r="AD23" s="662" t="str">
        <f>IF(ISNUMBER(W23),IFERROR(VLOOKUP(J23,KATSAYILAR!A11:B211,2)/1000,""),"")</f>
        <v/>
      </c>
      <c r="AE23" s="662"/>
      <c r="AF23" s="647" t="str">
        <f t="shared" si="2"/>
        <v/>
      </c>
      <c r="AG23" s="647"/>
      <c r="AI23" s="739" t="s">
        <v>225</v>
      </c>
      <c r="AJ23" s="740"/>
      <c r="AK23" s="740"/>
      <c r="AL23" s="740"/>
      <c r="AM23" s="741"/>
      <c r="AN23" s="748">
        <f>IFERROR(ABS($BH$45-$AL$45),"")</f>
        <v>2.7299217096199726</v>
      </c>
      <c r="AO23" s="749"/>
      <c r="AP23" s="749"/>
      <c r="AQ23" s="749"/>
      <c r="AR23" s="750"/>
      <c r="AS23" s="748">
        <f ca="1">IFERROR(ABS($AU$45-$BH$45),"")</f>
        <v>0.7299217096199726</v>
      </c>
      <c r="AT23" s="749"/>
      <c r="AU23" s="749"/>
      <c r="AV23" s="749"/>
      <c r="AW23" s="750"/>
      <c r="AX23" s="748">
        <f ca="1">IFERROR(ABS($AY$45-$BH$45),"")</f>
        <v>5.329921709619974</v>
      </c>
      <c r="AY23" s="749"/>
      <c r="AZ23" s="749"/>
      <c r="BA23" s="749"/>
      <c r="BB23" s="750"/>
      <c r="BC23" s="748" t="s">
        <v>227</v>
      </c>
      <c r="BD23" s="749"/>
      <c r="BE23" s="749"/>
      <c r="BF23" s="749"/>
      <c r="BG23" s="750"/>
      <c r="BH23" s="748">
        <f>IFERROR(ABS($O$48-$BH$45),"")</f>
        <v>2.4299217096199683</v>
      </c>
      <c r="BI23" s="749"/>
      <c r="BJ23" s="749"/>
      <c r="BK23" s="749"/>
      <c r="BL23" s="750"/>
      <c r="BN23" s="4"/>
      <c r="BO23" s="4"/>
      <c r="BP23" s="4"/>
    </row>
    <row r="24" spans="1:68" ht="14.1" customHeight="1" x14ac:dyDescent="0.25">
      <c r="A24" s="288">
        <v>1</v>
      </c>
      <c r="B24" s="639">
        <v>150</v>
      </c>
      <c r="C24" s="640"/>
      <c r="D24" s="641"/>
      <c r="E24" s="642"/>
      <c r="F24" s="641"/>
      <c r="G24" s="642"/>
      <c r="H24" s="641"/>
      <c r="I24" s="642"/>
      <c r="J24" s="663" t="str">
        <f t="shared" si="3"/>
        <v/>
      </c>
      <c r="K24" s="665"/>
      <c r="L24" s="666">
        <v>1179.8</v>
      </c>
      <c r="M24" s="667"/>
      <c r="N24" s="668"/>
      <c r="O24" s="666">
        <v>682.8</v>
      </c>
      <c r="P24" s="668"/>
      <c r="Q24" s="666">
        <v>1190.8</v>
      </c>
      <c r="R24" s="667"/>
      <c r="S24" s="668"/>
      <c r="T24" s="663">
        <f t="shared" si="1"/>
        <v>508</v>
      </c>
      <c r="U24" s="664"/>
      <c r="V24" s="665"/>
      <c r="W24" s="645" t="str">
        <f>IFERROR(
IF(OR(L24/T24&lt;'5 BSK'!$I$21-0.01,L24/T24&gt;'5 BSK'!$I$21+0.01),ROUND(L24/T24,3)&amp;"X",L24/T24),"")</f>
        <v>2,322X</v>
      </c>
      <c r="X24" s="650"/>
      <c r="Y24" s="646"/>
      <c r="Z24" s="721">
        <v>2.95</v>
      </c>
      <c r="AA24" s="721"/>
      <c r="AB24" s="720">
        <v>1190</v>
      </c>
      <c r="AC24" s="720"/>
      <c r="AD24" s="645" t="str">
        <f>IF(ISNUMBER(W24),IFERROR(VLOOKUP(J24,KATSAYILAR!A12:B212,2)/1000,""),"")</f>
        <v/>
      </c>
      <c r="AE24" s="646"/>
      <c r="AF24" s="647" t="str">
        <f t="shared" si="2"/>
        <v/>
      </c>
      <c r="AG24" s="647"/>
      <c r="AI24" s="739" t="s">
        <v>129</v>
      </c>
      <c r="AJ24" s="740"/>
      <c r="AK24" s="740"/>
      <c r="AL24" s="740"/>
      <c r="AM24" s="741"/>
      <c r="AN24" s="748">
        <f>IFERROR(ABS(AL45-$O$48),"")</f>
        <v>0.30000000000000426</v>
      </c>
      <c r="AO24" s="749"/>
      <c r="AP24" s="749"/>
      <c r="AQ24" s="749"/>
      <c r="AR24" s="750"/>
      <c r="AS24" s="748">
        <f ca="1">IFERROR(ABS(AU45-$O$48),"")</f>
        <v>1.6999999999999957</v>
      </c>
      <c r="AT24" s="749"/>
      <c r="AU24" s="749"/>
      <c r="AV24" s="749"/>
      <c r="AW24" s="750"/>
      <c r="AX24" s="748">
        <f ca="1">IFERROR(ABS(AY45-$O$48),"")</f>
        <v>2.9000000000000057</v>
      </c>
      <c r="AY24" s="749"/>
      <c r="AZ24" s="749"/>
      <c r="BA24" s="749"/>
      <c r="BB24" s="750"/>
      <c r="BC24" s="748">
        <f>IFERROR(ABS(BH45-$O$48),"")</f>
        <v>2.4299217096199683</v>
      </c>
      <c r="BD24" s="749"/>
      <c r="BE24" s="749"/>
      <c r="BF24" s="749"/>
      <c r="BG24" s="750"/>
      <c r="BH24" s="748" t="s">
        <v>227</v>
      </c>
      <c r="BI24" s="749"/>
      <c r="BJ24" s="749"/>
      <c r="BK24" s="749"/>
      <c r="BL24" s="750"/>
      <c r="BN24" s="4"/>
      <c r="BO24" s="4"/>
      <c r="BP24" s="4"/>
    </row>
    <row r="25" spans="1:68" ht="14.1" customHeight="1" x14ac:dyDescent="0.25">
      <c r="A25" s="288">
        <f t="shared" ref="A25:A33" si="4">A24+1</f>
        <v>2</v>
      </c>
      <c r="B25" s="639">
        <v>150</v>
      </c>
      <c r="C25" s="640"/>
      <c r="D25" s="641"/>
      <c r="E25" s="642"/>
      <c r="F25" s="641"/>
      <c r="G25" s="642"/>
      <c r="H25" s="641"/>
      <c r="I25" s="642"/>
      <c r="J25" s="663" t="str">
        <f t="shared" si="3"/>
        <v/>
      </c>
      <c r="K25" s="665"/>
      <c r="L25" s="666">
        <v>1181.8</v>
      </c>
      <c r="M25" s="667"/>
      <c r="N25" s="668"/>
      <c r="O25" s="666">
        <v>685.8</v>
      </c>
      <c r="P25" s="668"/>
      <c r="Q25" s="666">
        <v>1182.9000000000001</v>
      </c>
      <c r="R25" s="667"/>
      <c r="S25" s="668"/>
      <c r="T25" s="663">
        <f t="shared" si="1"/>
        <v>497.10000000000014</v>
      </c>
      <c r="U25" s="664"/>
      <c r="V25" s="665"/>
      <c r="W25" s="645">
        <f>IFERROR(
IF(OR(L25/T25&lt;'5 BSK'!$I$21-0.01,L25/T25&gt;'5 BSK'!$I$21+0.01),ROUND(L25/T25,3)&amp;"X",L25/T25),"")</f>
        <v>2.3773888553610938</v>
      </c>
      <c r="X25" s="650"/>
      <c r="Y25" s="646"/>
      <c r="Z25" s="721">
        <v>3.35</v>
      </c>
      <c r="AA25" s="721"/>
      <c r="AB25" s="720">
        <v>1155</v>
      </c>
      <c r="AC25" s="720"/>
      <c r="AD25" s="645" t="str">
        <f>IF(ISNUMBER(W25),IFERROR(VLOOKUP(J25,KATSAYILAR!A13:B213,2)/1000,""),"")</f>
        <v/>
      </c>
      <c r="AE25" s="646"/>
      <c r="AF25" s="647" t="str">
        <f t="shared" si="2"/>
        <v>X</v>
      </c>
      <c r="AG25" s="647"/>
      <c r="AI25" s="373"/>
      <c r="AJ25" s="373"/>
      <c r="AK25" s="373"/>
      <c r="AL25" s="373"/>
      <c r="AM25" s="373"/>
      <c r="AN25" s="333"/>
      <c r="AO25" s="333"/>
      <c r="AP25" s="333"/>
      <c r="AQ25" s="333"/>
      <c r="AR25" s="333"/>
      <c r="AS25" s="333"/>
      <c r="AT25" s="333"/>
      <c r="AU25" s="333"/>
      <c r="AV25" s="333"/>
      <c r="AW25" s="333"/>
      <c r="AX25" s="333"/>
      <c r="AY25" s="333"/>
      <c r="AZ25" s="333"/>
      <c r="BA25" s="333"/>
      <c r="BB25" s="333"/>
      <c r="BC25" s="333"/>
      <c r="BD25" s="333"/>
      <c r="BE25" s="333"/>
      <c r="BF25" s="333"/>
      <c r="BG25" s="333"/>
      <c r="BH25" s="333"/>
      <c r="BI25" s="333"/>
      <c r="BJ25" s="333"/>
      <c r="BK25" s="333"/>
      <c r="BL25" s="333"/>
      <c r="BN25" s="4"/>
      <c r="BO25" s="4"/>
      <c r="BP25" s="4"/>
    </row>
    <row r="26" spans="1:68" ht="14.1" customHeight="1" x14ac:dyDescent="0.25">
      <c r="A26" s="288">
        <f t="shared" si="4"/>
        <v>3</v>
      </c>
      <c r="B26" s="639">
        <v>150</v>
      </c>
      <c r="C26" s="640"/>
      <c r="D26" s="641">
        <v>62.7</v>
      </c>
      <c r="E26" s="642"/>
      <c r="F26" s="641">
        <v>62.7</v>
      </c>
      <c r="G26" s="642"/>
      <c r="H26" s="641">
        <v>62.6</v>
      </c>
      <c r="I26" s="642"/>
      <c r="J26" s="663">
        <f t="shared" si="0"/>
        <v>62.666666666666664</v>
      </c>
      <c r="K26" s="665"/>
      <c r="L26" s="666">
        <v>1192.8</v>
      </c>
      <c r="M26" s="667"/>
      <c r="N26" s="668"/>
      <c r="O26" s="666">
        <v>689.8</v>
      </c>
      <c r="P26" s="668"/>
      <c r="Q26" s="666">
        <v>1194</v>
      </c>
      <c r="R26" s="667"/>
      <c r="S26" s="668"/>
      <c r="T26" s="663">
        <f t="shared" si="1"/>
        <v>504.20000000000005</v>
      </c>
      <c r="U26" s="664"/>
      <c r="V26" s="665"/>
      <c r="W26" s="645">
        <f>IFERROR(
IF(OR(L26/T26&lt;'5 BSK'!$I$21-0.01,L26/T26&gt;'5 BSK'!$I$21+0.01),ROUND(L26/T26,3)&amp;"X",L26/T26),"")</f>
        <v>2.3657278857596187</v>
      </c>
      <c r="X26" s="650"/>
      <c r="Y26" s="646"/>
      <c r="Z26" s="721">
        <v>3.15</v>
      </c>
      <c r="AA26" s="721"/>
      <c r="AB26" s="720">
        <v>1160</v>
      </c>
      <c r="AC26" s="720"/>
      <c r="AD26" s="645">
        <f>IF(ISNUMBER(W26),IFERROR(VLOOKUP(J26,KATSAYILAR!A14:B214,2)/1000,""),"")</f>
        <v>1.0229999999999999</v>
      </c>
      <c r="AE26" s="646"/>
      <c r="AF26" s="647">
        <f t="shared" si="2"/>
        <v>1186.6799999999998</v>
      </c>
      <c r="AG26" s="647"/>
      <c r="AI26" s="739" t="s">
        <v>33</v>
      </c>
      <c r="AJ26" s="740"/>
      <c r="AK26" s="740"/>
      <c r="AL26" s="740"/>
      <c r="AM26" s="741"/>
      <c r="AN26" s="745" t="s">
        <v>224</v>
      </c>
      <c r="AO26" s="746"/>
      <c r="AP26" s="746"/>
      <c r="AQ26" s="746"/>
      <c r="AR26" s="747"/>
      <c r="AS26" s="745" t="s">
        <v>429</v>
      </c>
      <c r="AT26" s="746"/>
      <c r="AU26" s="746"/>
      <c r="AV26" s="746"/>
      <c r="AW26" s="747"/>
      <c r="AX26" s="745" t="s">
        <v>430</v>
      </c>
      <c r="AY26" s="746"/>
      <c r="AZ26" s="746"/>
      <c r="BA26" s="746"/>
      <c r="BB26" s="747"/>
      <c r="BC26" s="745" t="s">
        <v>225</v>
      </c>
      <c r="BD26" s="746"/>
      <c r="BE26" s="746"/>
      <c r="BF26" s="746"/>
      <c r="BG26" s="747"/>
      <c r="BH26" s="745" t="s">
        <v>129</v>
      </c>
      <c r="BI26" s="746"/>
      <c r="BJ26" s="746"/>
      <c r="BK26" s="746"/>
      <c r="BL26" s="747"/>
      <c r="BN26" s="4"/>
      <c r="BO26" s="4"/>
      <c r="BP26" s="4"/>
    </row>
    <row r="27" spans="1:68" ht="14.1" customHeight="1" x14ac:dyDescent="0.25">
      <c r="A27" s="288">
        <f t="shared" si="4"/>
        <v>4</v>
      </c>
      <c r="B27" s="639">
        <v>150</v>
      </c>
      <c r="C27" s="640"/>
      <c r="D27" s="641">
        <v>62.6</v>
      </c>
      <c r="E27" s="642"/>
      <c r="F27" s="641">
        <v>62.6</v>
      </c>
      <c r="G27" s="642"/>
      <c r="H27" s="641">
        <v>62.6</v>
      </c>
      <c r="I27" s="642"/>
      <c r="J27" s="663">
        <f t="shared" si="0"/>
        <v>62.6</v>
      </c>
      <c r="K27" s="665"/>
      <c r="L27" s="666">
        <v>1187</v>
      </c>
      <c r="M27" s="667"/>
      <c r="N27" s="668"/>
      <c r="O27" s="666">
        <v>687</v>
      </c>
      <c r="P27" s="668"/>
      <c r="Q27" s="666">
        <v>1188.0999999999999</v>
      </c>
      <c r="R27" s="667"/>
      <c r="S27" s="668"/>
      <c r="T27" s="663">
        <f t="shared" si="1"/>
        <v>501.09999999999991</v>
      </c>
      <c r="U27" s="664"/>
      <c r="V27" s="665"/>
      <c r="W27" s="645">
        <f>IFERROR(
IF(OR(L27/T27&lt;'5 BSK'!$I$21-0.01,L27/T27&gt;'5 BSK'!$I$21+0.01),ROUND(L27/T27,3)&amp;"X",L27/T27),"")</f>
        <v>2.3687886649371386</v>
      </c>
      <c r="X27" s="650"/>
      <c r="Y27" s="646"/>
      <c r="Z27" s="721">
        <v>3.6</v>
      </c>
      <c r="AA27" s="721"/>
      <c r="AB27" s="720">
        <v>1140</v>
      </c>
      <c r="AC27" s="720"/>
      <c r="AD27" s="645">
        <f>IF(ISNUMBER(W27),IFERROR(VLOOKUP(J27,KATSAYILAR!A15:B215,2)/1000,""),"")</f>
        <v>1.0229999999999999</v>
      </c>
      <c r="AE27" s="646"/>
      <c r="AF27" s="647">
        <f t="shared" si="2"/>
        <v>1166.2199999999998</v>
      </c>
      <c r="AG27" s="647"/>
      <c r="AI27" s="739" t="s">
        <v>224</v>
      </c>
      <c r="AJ27" s="740"/>
      <c r="AK27" s="740"/>
      <c r="AL27" s="740"/>
      <c r="AM27" s="741"/>
      <c r="AN27" s="748" t="s">
        <v>227</v>
      </c>
      <c r="AO27" s="749"/>
      <c r="AP27" s="749"/>
      <c r="AQ27" s="749"/>
      <c r="AR27" s="750"/>
      <c r="AS27" s="748">
        <f ca="1">IFERROR(ABS($AU$46-$AL$46),"")</f>
        <v>0.70000000000000018</v>
      </c>
      <c r="AT27" s="749"/>
      <c r="AU27" s="749"/>
      <c r="AV27" s="749"/>
      <c r="AW27" s="750"/>
      <c r="AX27" s="748">
        <f ca="1">IFERROR(ABS($AU$46-$AY$46),"")</f>
        <v>0</v>
      </c>
      <c r="AY27" s="749"/>
      <c r="AZ27" s="749"/>
      <c r="BA27" s="749"/>
      <c r="BB27" s="750"/>
      <c r="BC27" s="748">
        <f ca="1">IFERROR(ABS($AU$46-$BH$46),"")</f>
        <v>0.52310742246563979</v>
      </c>
      <c r="BD27" s="749"/>
      <c r="BE27" s="749"/>
      <c r="BF27" s="749"/>
      <c r="BG27" s="750"/>
      <c r="BH27" s="748">
        <f>IFERROR(ABS($O$49-$AL$46),"")</f>
        <v>0</v>
      </c>
      <c r="BI27" s="749"/>
      <c r="BJ27" s="749"/>
      <c r="BK27" s="749"/>
      <c r="BL27" s="750"/>
      <c r="BN27" s="4"/>
      <c r="BO27" s="4"/>
      <c r="BP27" s="4"/>
    </row>
    <row r="28" spans="1:68" ht="14.1" customHeight="1" x14ac:dyDescent="0.25">
      <c r="A28" s="288">
        <f t="shared" si="4"/>
        <v>5</v>
      </c>
      <c r="B28" s="639">
        <v>150</v>
      </c>
      <c r="C28" s="640"/>
      <c r="D28" s="641">
        <v>62.8</v>
      </c>
      <c r="E28" s="642"/>
      <c r="F28" s="641">
        <v>62.8</v>
      </c>
      <c r="G28" s="642"/>
      <c r="H28" s="641">
        <v>62.8</v>
      </c>
      <c r="I28" s="642"/>
      <c r="J28" s="663">
        <f t="shared" si="0"/>
        <v>62.79999999999999</v>
      </c>
      <c r="K28" s="665"/>
      <c r="L28" s="666">
        <v>1184.0999999999999</v>
      </c>
      <c r="M28" s="667"/>
      <c r="N28" s="668"/>
      <c r="O28" s="666">
        <v>686.8</v>
      </c>
      <c r="P28" s="668"/>
      <c r="Q28" s="666">
        <v>1184.7</v>
      </c>
      <c r="R28" s="667"/>
      <c r="S28" s="668"/>
      <c r="T28" s="663">
        <f t="shared" si="1"/>
        <v>497.90000000000009</v>
      </c>
      <c r="U28" s="664"/>
      <c r="V28" s="665"/>
      <c r="W28" s="645">
        <f>IFERROR(
IF(OR(L28/T28&lt;'5 BSK'!$I$21-0.01,L28/T28&gt;'5 BSK'!$I$21+0.01),ROUND(L28/T28,3)&amp;"X",L28/T28),"")</f>
        <v>2.3781883912432211</v>
      </c>
      <c r="X28" s="650"/>
      <c r="Y28" s="646"/>
      <c r="Z28" s="721">
        <v>3.2</v>
      </c>
      <c r="AA28" s="721"/>
      <c r="AB28" s="720">
        <v>1125</v>
      </c>
      <c r="AC28" s="720"/>
      <c r="AD28" s="645">
        <f>IF(ISNUMBER(W28),IFERROR(VLOOKUP(J28,KATSAYILAR!A16:B216,2)/1000,""),"")</f>
        <v>1.018</v>
      </c>
      <c r="AE28" s="646"/>
      <c r="AF28" s="647">
        <f t="shared" si="2"/>
        <v>1145.25</v>
      </c>
      <c r="AG28" s="647"/>
      <c r="AI28" s="739" t="s">
        <v>431</v>
      </c>
      <c r="AJ28" s="740"/>
      <c r="AK28" s="740"/>
      <c r="AL28" s="740"/>
      <c r="AM28" s="741"/>
      <c r="AN28" s="748">
        <f ca="1">IFERROR(ABS($AU$46-$AL$46),"")</f>
        <v>0.70000000000000018</v>
      </c>
      <c r="AO28" s="749"/>
      <c r="AP28" s="749"/>
      <c r="AQ28" s="749"/>
      <c r="AR28" s="750"/>
      <c r="AS28" s="748" t="s">
        <v>227</v>
      </c>
      <c r="AT28" s="749"/>
      <c r="AU28" s="749"/>
      <c r="AV28" s="749"/>
      <c r="AW28" s="750"/>
      <c r="AX28" s="748">
        <f ca="1">IFERROR(ABS($AU$46-$AY$46),"")</f>
        <v>0</v>
      </c>
      <c r="AY28" s="749"/>
      <c r="AZ28" s="749"/>
      <c r="BA28" s="749"/>
      <c r="BB28" s="750"/>
      <c r="BC28" s="748">
        <f ca="1">IFERROR(ABS($AU$46-$BH$46),"")</f>
        <v>0.52310742246563979</v>
      </c>
      <c r="BD28" s="749"/>
      <c r="BE28" s="749"/>
      <c r="BF28" s="749"/>
      <c r="BG28" s="750"/>
      <c r="BH28" s="748">
        <f ca="1">IFERROR(ABS($O$49-$AU$46),"")</f>
        <v>0.70000000000000018</v>
      </c>
      <c r="BI28" s="749"/>
      <c r="BJ28" s="749"/>
      <c r="BK28" s="749"/>
      <c r="BL28" s="750"/>
      <c r="BN28" s="4"/>
      <c r="BO28" s="4"/>
      <c r="BP28" s="4"/>
    </row>
    <row r="29" spans="1:68" ht="14.1" customHeight="1" x14ac:dyDescent="0.25">
      <c r="A29" s="288">
        <f t="shared" si="4"/>
        <v>6</v>
      </c>
      <c r="B29" s="639">
        <v>150</v>
      </c>
      <c r="C29" s="640"/>
      <c r="D29" s="641">
        <v>62.8</v>
      </c>
      <c r="E29" s="642"/>
      <c r="F29" s="641">
        <v>62.7</v>
      </c>
      <c r="G29" s="642"/>
      <c r="H29" s="641">
        <v>62.8</v>
      </c>
      <c r="I29" s="642"/>
      <c r="J29" s="663">
        <f t="shared" si="0"/>
        <v>62.766666666666673</v>
      </c>
      <c r="K29" s="665"/>
      <c r="L29" s="666">
        <v>1205.3</v>
      </c>
      <c r="M29" s="667"/>
      <c r="N29" s="668"/>
      <c r="O29" s="666">
        <v>698.5</v>
      </c>
      <c r="P29" s="668"/>
      <c r="Q29" s="666">
        <v>1207.8</v>
      </c>
      <c r="R29" s="667"/>
      <c r="S29" s="668"/>
      <c r="T29" s="663">
        <f t="shared" si="1"/>
        <v>509.29999999999995</v>
      </c>
      <c r="U29" s="664"/>
      <c r="V29" s="665"/>
      <c r="W29" s="645">
        <f>IFERROR(
IF(OR(L29/T29&lt;'5 BSK'!$I$21-0.01,L29/T29&gt;'5 BSK'!$I$21+0.01),ROUND(L29/T29,3)&amp;"X",L29/T29),"")</f>
        <v>2.366581582564304</v>
      </c>
      <c r="X29" s="650"/>
      <c r="Y29" s="646"/>
      <c r="Z29" s="721">
        <v>3.25</v>
      </c>
      <c r="AA29" s="721"/>
      <c r="AB29" s="720">
        <v>1135</v>
      </c>
      <c r="AC29" s="720"/>
      <c r="AD29" s="645">
        <f>IF(ISNUMBER(W29),IFERROR(VLOOKUP(J29,KATSAYILAR!A17:B217,2)/1000,""),"")</f>
        <v>1.02</v>
      </c>
      <c r="AE29" s="646"/>
      <c r="AF29" s="647">
        <f t="shared" si="2"/>
        <v>1157.7</v>
      </c>
      <c r="AG29" s="647"/>
      <c r="AI29" s="739" t="s">
        <v>432</v>
      </c>
      <c r="AJ29" s="740"/>
      <c r="AK29" s="740"/>
      <c r="AL29" s="740"/>
      <c r="AM29" s="741"/>
      <c r="AN29" s="748">
        <f ca="1">IFERROR(ABS($AY$44-$AL$44),"")</f>
        <v>1.8999999999999986</v>
      </c>
      <c r="AO29" s="749"/>
      <c r="AP29" s="749"/>
      <c r="AQ29" s="749"/>
      <c r="AR29" s="750"/>
      <c r="AS29" s="748">
        <f ca="1">IFERROR(ABS($AU$46-$AY$46),"")</f>
        <v>0</v>
      </c>
      <c r="AT29" s="749"/>
      <c r="AU29" s="749"/>
      <c r="AV29" s="749"/>
      <c r="AW29" s="750"/>
      <c r="AX29" s="748" t="s">
        <v>227</v>
      </c>
      <c r="AY29" s="749"/>
      <c r="AZ29" s="749"/>
      <c r="BA29" s="749"/>
      <c r="BB29" s="750"/>
      <c r="BC29" s="748">
        <f ca="1">IFERROR(ABS($AY$46-$BH$46),"")</f>
        <v>0.52310742246563979</v>
      </c>
      <c r="BD29" s="749"/>
      <c r="BE29" s="749"/>
      <c r="BF29" s="749"/>
      <c r="BG29" s="750"/>
      <c r="BH29" s="748">
        <f ca="1">IFERROR(ABS($O$49-$AY$46),"")</f>
        <v>0.70000000000000018</v>
      </c>
      <c r="BI29" s="749"/>
      <c r="BJ29" s="749"/>
      <c r="BK29" s="749"/>
      <c r="BL29" s="750"/>
    </row>
    <row r="30" spans="1:68" ht="14.1" customHeight="1" x14ac:dyDescent="0.25">
      <c r="A30" s="288">
        <f t="shared" si="4"/>
        <v>7</v>
      </c>
      <c r="B30" s="639"/>
      <c r="C30" s="640"/>
      <c r="D30" s="643"/>
      <c r="E30" s="644"/>
      <c r="F30" s="643"/>
      <c r="G30" s="644"/>
      <c r="H30" s="643"/>
      <c r="I30" s="644"/>
      <c r="J30" s="663" t="str">
        <f t="shared" si="0"/>
        <v/>
      </c>
      <c r="K30" s="665"/>
      <c r="L30" s="666"/>
      <c r="M30" s="667"/>
      <c r="N30" s="668"/>
      <c r="O30" s="666"/>
      <c r="P30" s="668"/>
      <c r="Q30" s="666"/>
      <c r="R30" s="667"/>
      <c r="S30" s="668"/>
      <c r="T30" s="663" t="str">
        <f t="shared" si="1"/>
        <v/>
      </c>
      <c r="U30" s="664"/>
      <c r="V30" s="665"/>
      <c r="W30" s="645" t="str">
        <f>IFERROR(
IF(OR(L30/T30&lt;'5 BSK'!$I$21-0.01,L30/T30&gt;'5 BSK'!$I$21+0.01),ROUND(L30/T30,3)&amp;"X",L30/T30),"")</f>
        <v/>
      </c>
      <c r="X30" s="650"/>
      <c r="Y30" s="646"/>
      <c r="Z30" s="737"/>
      <c r="AA30" s="738"/>
      <c r="AB30" s="639"/>
      <c r="AC30" s="640"/>
      <c r="AD30" s="645" t="str">
        <f>IF(ISNUMBER(W30),IFERROR(VLOOKUP(J30,KATSAYILAR!A18:B218,2)/1000,""),"")</f>
        <v/>
      </c>
      <c r="AE30" s="646"/>
      <c r="AF30" s="647" t="str">
        <f t="shared" si="2"/>
        <v/>
      </c>
      <c r="AG30" s="647"/>
      <c r="AI30" s="739" t="s">
        <v>225</v>
      </c>
      <c r="AJ30" s="740"/>
      <c r="AK30" s="740"/>
      <c r="AL30" s="740"/>
      <c r="AM30" s="741"/>
      <c r="AN30" s="748">
        <f>IFERROR(ABS($BH$46-$AL$46),"")</f>
        <v>0.17689257753436038</v>
      </c>
      <c r="AO30" s="749"/>
      <c r="AP30" s="749"/>
      <c r="AQ30" s="749"/>
      <c r="AR30" s="750"/>
      <c r="AS30" s="748">
        <f ca="1">IFERROR(ABS($AU$46-$BH$46),"")</f>
        <v>0.52310742246563979</v>
      </c>
      <c r="AT30" s="749"/>
      <c r="AU30" s="749"/>
      <c r="AV30" s="749"/>
      <c r="AW30" s="750"/>
      <c r="AX30" s="748">
        <f ca="1">IFERROR(ABS($AY$46-$BH$46),"")</f>
        <v>0.52310742246563979</v>
      </c>
      <c r="AY30" s="749"/>
      <c r="AZ30" s="749"/>
      <c r="BA30" s="749"/>
      <c r="BB30" s="750"/>
      <c r="BC30" s="748" t="s">
        <v>227</v>
      </c>
      <c r="BD30" s="749"/>
      <c r="BE30" s="749"/>
      <c r="BF30" s="749"/>
      <c r="BG30" s="750"/>
      <c r="BH30" s="748">
        <f>IFERROR(ABS($O$49-$BH$46),"")</f>
        <v>0.17689257753436038</v>
      </c>
      <c r="BI30" s="749"/>
      <c r="BJ30" s="749"/>
      <c r="BK30" s="749"/>
      <c r="BL30" s="750"/>
    </row>
    <row r="31" spans="1:68" ht="14.1" customHeight="1" x14ac:dyDescent="0.25">
      <c r="A31" s="297">
        <f t="shared" si="4"/>
        <v>8</v>
      </c>
      <c r="B31" s="639"/>
      <c r="C31" s="640"/>
      <c r="D31" s="643"/>
      <c r="E31" s="644"/>
      <c r="F31" s="643"/>
      <c r="G31" s="644"/>
      <c r="H31" s="643"/>
      <c r="I31" s="644"/>
      <c r="J31" s="663" t="str">
        <f t="shared" si="0"/>
        <v/>
      </c>
      <c r="K31" s="665"/>
      <c r="L31" s="666"/>
      <c r="M31" s="667"/>
      <c r="N31" s="668"/>
      <c r="O31" s="666"/>
      <c r="P31" s="668"/>
      <c r="Q31" s="666"/>
      <c r="R31" s="667"/>
      <c r="S31" s="668"/>
      <c r="T31" s="663" t="str">
        <f t="shared" si="1"/>
        <v/>
      </c>
      <c r="U31" s="664"/>
      <c r="V31" s="665"/>
      <c r="W31" s="645" t="str">
        <f>IFERROR(
IF(OR(L31/T31&lt;'5 BSK'!$I$21-0.01,L31/T31&gt;'5 BSK'!$I$21+0.01),ROUND(L31/T31,3)&amp;"X",L31/T31),"")</f>
        <v/>
      </c>
      <c r="X31" s="650"/>
      <c r="Y31" s="646"/>
      <c r="Z31" s="737"/>
      <c r="AA31" s="738"/>
      <c r="AB31" s="639"/>
      <c r="AC31" s="640"/>
      <c r="AD31" s="645" t="str">
        <f>IF(ISNUMBER(W31),IFERROR(VLOOKUP(J31,KATSAYILAR!A19:B219,2)/1000,""),"")</f>
        <v/>
      </c>
      <c r="AE31" s="646"/>
      <c r="AF31" s="647" t="str">
        <f t="shared" si="2"/>
        <v/>
      </c>
      <c r="AG31" s="647"/>
      <c r="AI31" s="739" t="s">
        <v>129</v>
      </c>
      <c r="AJ31" s="740"/>
      <c r="AK31" s="740"/>
      <c r="AL31" s="740"/>
      <c r="AM31" s="741"/>
      <c r="AN31" s="748">
        <f>IFERROR(ABS(AL46-$O$49),"")</f>
        <v>0</v>
      </c>
      <c r="AO31" s="749"/>
      <c r="AP31" s="749"/>
      <c r="AQ31" s="749"/>
      <c r="AR31" s="750"/>
      <c r="AS31" s="748">
        <f ca="1">IFERROR(ABS(AU46-$O$49),"")</f>
        <v>0.70000000000000018</v>
      </c>
      <c r="AT31" s="749"/>
      <c r="AU31" s="749"/>
      <c r="AV31" s="749"/>
      <c r="AW31" s="750"/>
      <c r="AX31" s="748">
        <f ca="1">IFERROR(ABS(AY46-$O$49),"")</f>
        <v>0.70000000000000018</v>
      </c>
      <c r="AY31" s="749"/>
      <c r="AZ31" s="749"/>
      <c r="BA31" s="749"/>
      <c r="BB31" s="750"/>
      <c r="BC31" s="748">
        <f>IFERROR(ABS(BH46-$O$49),"")</f>
        <v>0.17689257753436038</v>
      </c>
      <c r="BD31" s="749"/>
      <c r="BE31" s="749"/>
      <c r="BF31" s="749"/>
      <c r="BG31" s="750"/>
      <c r="BH31" s="748" t="s">
        <v>227</v>
      </c>
      <c r="BI31" s="749"/>
      <c r="BJ31" s="749"/>
      <c r="BK31" s="749"/>
      <c r="BL31" s="750"/>
    </row>
    <row r="32" spans="1:68" ht="14.1" customHeight="1" x14ac:dyDescent="0.25">
      <c r="A32" s="297">
        <f t="shared" si="4"/>
        <v>9</v>
      </c>
      <c r="B32" s="639"/>
      <c r="C32" s="640"/>
      <c r="D32" s="643"/>
      <c r="E32" s="644"/>
      <c r="F32" s="643"/>
      <c r="G32" s="644"/>
      <c r="H32" s="643"/>
      <c r="I32" s="644"/>
      <c r="J32" s="663" t="str">
        <f t="shared" si="0"/>
        <v/>
      </c>
      <c r="K32" s="665"/>
      <c r="L32" s="666"/>
      <c r="M32" s="667"/>
      <c r="N32" s="668"/>
      <c r="O32" s="666"/>
      <c r="P32" s="668"/>
      <c r="Q32" s="666"/>
      <c r="R32" s="667"/>
      <c r="S32" s="668"/>
      <c r="T32" s="663" t="str">
        <f t="shared" si="1"/>
        <v/>
      </c>
      <c r="U32" s="664"/>
      <c r="V32" s="665"/>
      <c r="W32" s="645" t="str">
        <f>IFERROR(
IF(OR(L32/T32&lt;'5 BSK'!$I$21-0.01,L32/T32&gt;'5 BSK'!$I$21+0.01),ROUND(L32/T32,3)&amp;"X",L32/T32),"")</f>
        <v/>
      </c>
      <c r="X32" s="650"/>
      <c r="Y32" s="646"/>
      <c r="Z32" s="737"/>
      <c r="AA32" s="738"/>
      <c r="AB32" s="639"/>
      <c r="AC32" s="640"/>
      <c r="AD32" s="645" t="str">
        <f>IF(ISNUMBER(W32),IFERROR(VLOOKUP(J32,KATSAYILAR!A20:B220,2)/1000,""),"")</f>
        <v/>
      </c>
      <c r="AE32" s="646"/>
      <c r="AF32" s="647" t="str">
        <f t="shared" si="2"/>
        <v/>
      </c>
      <c r="AG32" s="647"/>
      <c r="AI32" s="334"/>
      <c r="AJ32" s="334"/>
      <c r="AK32" s="334"/>
      <c r="AL32" s="334"/>
      <c r="AM32" s="334"/>
      <c r="AN32" s="335"/>
      <c r="AO32" s="335"/>
      <c r="AP32" s="335"/>
      <c r="AQ32" s="335"/>
      <c r="AR32" s="335"/>
      <c r="AS32" s="335"/>
      <c r="AT32" s="335"/>
      <c r="AU32" s="335"/>
      <c r="AV32" s="335"/>
      <c r="AW32" s="335"/>
      <c r="AX32" s="335"/>
      <c r="AY32" s="335"/>
      <c r="AZ32" s="335"/>
      <c r="BA32" s="335"/>
      <c r="BB32" s="335"/>
      <c r="BC32" s="335"/>
      <c r="BD32" s="335"/>
      <c r="BE32" s="335"/>
      <c r="BF32" s="335"/>
      <c r="BG32" s="335"/>
      <c r="BH32" s="335"/>
      <c r="BI32" s="335"/>
      <c r="BJ32" s="335"/>
      <c r="BK32" s="335"/>
      <c r="BL32" s="335"/>
    </row>
    <row r="33" spans="1:69" ht="14.1" customHeight="1" x14ac:dyDescent="0.25">
      <c r="A33" s="297">
        <f t="shared" si="4"/>
        <v>10</v>
      </c>
      <c r="B33" s="639"/>
      <c r="C33" s="640"/>
      <c r="D33" s="643"/>
      <c r="E33" s="644"/>
      <c r="F33" s="643"/>
      <c r="G33" s="644"/>
      <c r="H33" s="643"/>
      <c r="I33" s="644"/>
      <c r="J33" s="663" t="str">
        <f t="shared" si="0"/>
        <v/>
      </c>
      <c r="K33" s="665"/>
      <c r="L33" s="666"/>
      <c r="M33" s="667"/>
      <c r="N33" s="668"/>
      <c r="O33" s="666"/>
      <c r="P33" s="668"/>
      <c r="Q33" s="666"/>
      <c r="R33" s="667"/>
      <c r="S33" s="668"/>
      <c r="T33" s="663" t="str">
        <f t="shared" si="1"/>
        <v/>
      </c>
      <c r="U33" s="664"/>
      <c r="V33" s="665"/>
      <c r="W33" s="645" t="str">
        <f>IFERROR(
IF(OR(L33/T33&lt;'5 BSK'!$I$21-0.01,L33/T33&gt;'5 BSK'!$I$21+0.01),ROUND(L33/T33,3)&amp;"X",L33/T33),"")</f>
        <v/>
      </c>
      <c r="X33" s="650"/>
      <c r="Y33" s="646"/>
      <c r="Z33" s="737"/>
      <c r="AA33" s="738"/>
      <c r="AB33" s="639"/>
      <c r="AC33" s="640"/>
      <c r="AD33" s="645" t="str">
        <f>IF(ISNUMBER(W33),IFERROR(VLOOKUP(J33,KATSAYILAR!A21:B221,2)/1000,""),"")</f>
        <v/>
      </c>
      <c r="AE33" s="646"/>
      <c r="AF33" s="772" t="str">
        <f t="shared" si="2"/>
        <v/>
      </c>
      <c r="AG33" s="772"/>
      <c r="AI33" s="336"/>
      <c r="AJ33" s="336"/>
      <c r="AK33" s="336"/>
      <c r="AL33" s="336"/>
      <c r="AM33" s="336"/>
      <c r="AN33" s="337"/>
      <c r="AO33" s="337"/>
      <c r="AP33" s="337"/>
      <c r="AQ33" s="337"/>
      <c r="AR33" s="337"/>
      <c r="AS33" s="337"/>
      <c r="AT33" s="337"/>
      <c r="AU33" s="337"/>
      <c r="AV33" s="337"/>
      <c r="AW33" s="337"/>
      <c r="AX33" s="337"/>
      <c r="AY33" s="337"/>
      <c r="AZ33" s="337"/>
      <c r="BA33" s="337"/>
      <c r="BB33" s="337"/>
      <c r="BC33" s="337"/>
      <c r="BD33" s="337"/>
      <c r="BE33" s="337"/>
      <c r="BF33" s="337"/>
      <c r="BG33" s="337"/>
      <c r="BH33" s="337"/>
      <c r="BI33" s="337"/>
      <c r="BJ33" s="337"/>
      <c r="BK33" s="337"/>
      <c r="BL33" s="337"/>
    </row>
    <row r="34" spans="1:69" ht="14.1" customHeight="1" x14ac:dyDescent="0.25">
      <c r="A34" s="301" t="s">
        <v>199</v>
      </c>
      <c r="B34" s="302"/>
      <c r="C34" s="302"/>
      <c r="D34" s="302"/>
      <c r="E34" s="302"/>
      <c r="F34" s="302"/>
      <c r="G34" s="302"/>
      <c r="H34" s="302"/>
      <c r="I34" s="303"/>
      <c r="J34" s="655" t="str">
        <f ca="1">IF(ISNUMBER('3 Ekstrasyon'!$BM$20),"Deney 1","Deney")</f>
        <v>Deney 1</v>
      </c>
      <c r="K34" s="656"/>
      <c r="L34" s="656"/>
      <c r="M34" s="656" t="str">
        <f ca="1">IF(ISNUMBER('3 Ekstrasyon'!$BM$20),"Deney 2","")</f>
        <v>Deney 2</v>
      </c>
      <c r="N34" s="656"/>
      <c r="O34" s="657"/>
      <c r="P34" s="655" t="s">
        <v>129</v>
      </c>
      <c r="Q34" s="656"/>
      <c r="R34" s="657"/>
      <c r="S34" s="655" t="s">
        <v>187</v>
      </c>
      <c r="T34" s="656"/>
      <c r="U34" s="657"/>
      <c r="V34" s="708" t="str">
        <f>IF(UPPER('5 BSK'!$S$7)="İKF","İKF çalışması ile elde edilen Hac. Öz. Ağ. Dp Değeri","")</f>
        <v/>
      </c>
      <c r="W34" s="709"/>
      <c r="X34" s="709"/>
      <c r="Y34" s="709"/>
      <c r="Z34" s="709"/>
      <c r="AA34" s="709"/>
      <c r="AB34" s="709"/>
      <c r="AC34" s="709"/>
      <c r="AD34" s="709"/>
      <c r="AE34" s="651" t="str">
        <f>IFERROR(IF(V34="","",AVERAGEIFS(W14:W31,W14:W31,"&gt;"&amp;BH36-0.015,W14:W31,"&lt;"&amp;BH36+0.015)),ROUND(AVERAGE(W14:W31),3)&amp;" X")</f>
        <v/>
      </c>
      <c r="AF34" s="651"/>
      <c r="AG34" s="652"/>
      <c r="AI34" s="336"/>
      <c r="AJ34" s="336"/>
      <c r="AK34" s="336"/>
      <c r="AL34" s="336"/>
      <c r="AM34" s="336"/>
      <c r="AN34" s="337"/>
      <c r="AO34" s="337"/>
      <c r="AP34" s="337"/>
      <c r="AQ34" s="337"/>
      <c r="AR34" s="337"/>
      <c r="AS34" s="337"/>
      <c r="AT34" s="337"/>
      <c r="AU34" s="337"/>
      <c r="AV34" s="337"/>
      <c r="AW34" s="337"/>
      <c r="AX34" s="337"/>
      <c r="AY34" s="337"/>
      <c r="AZ34" s="337"/>
      <c r="BA34" s="337"/>
      <c r="BB34" s="337"/>
      <c r="BC34" s="337"/>
      <c r="BD34" s="337"/>
      <c r="BE34" s="337"/>
      <c r="BF34" s="337"/>
      <c r="BG34" s="337"/>
      <c r="BH34" s="337"/>
      <c r="BI34" s="337"/>
      <c r="BJ34" s="337"/>
      <c r="BK34" s="337"/>
      <c r="BL34" s="337"/>
    </row>
    <row r="35" spans="1:69" ht="14.1" customHeight="1" x14ac:dyDescent="0.25">
      <c r="A35" s="683" t="s">
        <v>418</v>
      </c>
      <c r="B35" s="683"/>
      <c r="C35" s="683"/>
      <c r="D35" s="683"/>
      <c r="E35" s="683"/>
      <c r="F35" s="683"/>
      <c r="G35" s="683"/>
      <c r="H35" s="683"/>
      <c r="I35" s="683"/>
      <c r="J35" s="659">
        <f>'3 Ekstrasyon'!$AE$22</f>
        <v>4.3954439252336313</v>
      </c>
      <c r="K35" s="660"/>
      <c r="L35" s="660"/>
      <c r="M35" s="660">
        <f>'3 Ekstrasyon'!$BM$22</f>
        <v>4.3954439252336313</v>
      </c>
      <c r="N35" s="660"/>
      <c r="O35" s="687"/>
      <c r="P35" s="700">
        <f>Dizayn!$F$63</f>
        <v>4.5999999999999996</v>
      </c>
      <c r="Q35" s="700"/>
      <c r="R35" s="700"/>
      <c r="S35" s="685"/>
      <c r="T35" s="685"/>
      <c r="U35" s="685"/>
      <c r="V35" s="710"/>
      <c r="W35" s="711"/>
      <c r="X35" s="711"/>
      <c r="Y35" s="711"/>
      <c r="Z35" s="711"/>
      <c r="AA35" s="711"/>
      <c r="AB35" s="711"/>
      <c r="AC35" s="711"/>
      <c r="AD35" s="711"/>
      <c r="AE35" s="653"/>
      <c r="AF35" s="653"/>
      <c r="AG35" s="654"/>
      <c r="AI35" s="338"/>
      <c r="AJ35" s="338"/>
      <c r="AK35" s="338"/>
      <c r="AL35" s="338"/>
      <c r="AM35" s="338"/>
      <c r="AN35" s="339"/>
      <c r="AO35" s="339"/>
      <c r="AP35" s="339"/>
      <c r="AQ35" s="339"/>
      <c r="AR35" s="339"/>
      <c r="AS35" s="339"/>
      <c r="AT35" s="339"/>
      <c r="AU35" s="339"/>
      <c r="AV35" s="339"/>
      <c r="AW35" s="339"/>
      <c r="AX35" s="339"/>
      <c r="AY35" s="339"/>
      <c r="AZ35" s="339"/>
      <c r="BA35" s="339"/>
      <c r="BB35" s="339"/>
      <c r="BC35" s="339"/>
      <c r="BD35" s="339"/>
      <c r="BE35" s="339"/>
      <c r="BF35" s="339"/>
      <c r="BG35" s="339"/>
      <c r="BH35" s="339"/>
      <c r="BI35" s="339"/>
      <c r="BJ35" s="339"/>
      <c r="BK35" s="339"/>
      <c r="BL35" s="339"/>
    </row>
    <row r="36" spans="1:69" ht="14.1" customHeight="1" x14ac:dyDescent="0.25">
      <c r="A36" s="683" t="s">
        <v>419</v>
      </c>
      <c r="B36" s="683"/>
      <c r="C36" s="683"/>
      <c r="D36" s="683"/>
      <c r="E36" s="683"/>
      <c r="F36" s="683"/>
      <c r="G36" s="683"/>
      <c r="H36" s="683"/>
      <c r="I36" s="683"/>
      <c r="J36" s="659">
        <f ca="1">'3 Ekstrasyon'!$AE$20</f>
        <v>4.5975255842370411</v>
      </c>
      <c r="K36" s="660"/>
      <c r="L36" s="660"/>
      <c r="M36" s="660">
        <f ca="1">'3 Ekstrasyon'!$BM$20</f>
        <v>4.5975255842370411</v>
      </c>
      <c r="N36" s="660"/>
      <c r="O36" s="687"/>
      <c r="P36" s="700">
        <f>Dizayn!$F$62</f>
        <v>4.4000000000000004</v>
      </c>
      <c r="Q36" s="700"/>
      <c r="R36" s="700"/>
      <c r="S36" s="700" t="str">
        <f>Dizayn!$E$62</f>
        <v>3,5-6,5</v>
      </c>
      <c r="T36" s="700"/>
      <c r="U36" s="700"/>
      <c r="V36" s="661" t="s">
        <v>193</v>
      </c>
      <c r="W36" s="661" t="s">
        <v>193</v>
      </c>
      <c r="X36" s="713" t="s">
        <v>200</v>
      </c>
      <c r="Y36" s="713"/>
      <c r="Z36" s="713"/>
      <c r="AA36" s="713"/>
      <c r="AB36" s="713"/>
      <c r="AC36" s="713"/>
      <c r="AD36" s="713"/>
      <c r="AE36" s="713"/>
      <c r="AF36" s="713"/>
      <c r="AG36" s="713"/>
      <c r="AI36" s="629" t="s">
        <v>434</v>
      </c>
      <c r="AJ36" s="630"/>
      <c r="AK36" s="630"/>
      <c r="AL36" s="630"/>
      <c r="AM36" s="630"/>
      <c r="AN36" s="630"/>
      <c r="AO36" s="630"/>
      <c r="AP36" s="630"/>
      <c r="AQ36" s="630"/>
      <c r="AR36" s="630"/>
      <c r="AS36" s="630"/>
      <c r="AT36" s="630"/>
      <c r="AU36" s="630"/>
      <c r="AV36" s="630"/>
      <c r="AW36" s="630"/>
      <c r="AX36" s="630"/>
      <c r="AY36" s="630"/>
      <c r="AZ36" s="630"/>
      <c r="BA36" s="630"/>
      <c r="BB36" s="630"/>
      <c r="BC36" s="630"/>
      <c r="BD36" s="630"/>
      <c r="BE36" s="630"/>
      <c r="BF36" s="630"/>
      <c r="BG36" s="631"/>
      <c r="BH36" s="628">
        <f>IFERROR(AVERAGEIFS(W14:W33,W14:W33,"&gt;"&amp;Dizayn!G64-0.01,W14:W33,"&lt;"&amp;Dizayn!G64+0.01),"")</f>
        <v>2.3713350759730751</v>
      </c>
      <c r="BI36" s="628"/>
      <c r="BJ36" s="628"/>
      <c r="BK36" s="628"/>
      <c r="BL36" s="628"/>
    </row>
    <row r="37" spans="1:69" ht="14.1" customHeight="1" x14ac:dyDescent="0.25">
      <c r="A37" s="683" t="s">
        <v>188</v>
      </c>
      <c r="B37" s="683"/>
      <c r="C37" s="683"/>
      <c r="D37" s="683"/>
      <c r="E37" s="683"/>
      <c r="F37" s="683"/>
      <c r="G37" s="683"/>
      <c r="H37" s="683"/>
      <c r="I37" s="683"/>
      <c r="J37" s="763">
        <f ca="1">IF(ISNUMBER('3 Ekstrasyon'!$BM$20),$BH$38,$BH$40)</f>
        <v>2.3713350759730751</v>
      </c>
      <c r="K37" s="648"/>
      <c r="L37" s="648"/>
      <c r="M37" s="648">
        <f ca="1">IF(ISNUMBER('3 Ekstrasyon'!$BM$20),$BH$39,"")</f>
        <v>2.3713350759730751</v>
      </c>
      <c r="N37" s="648"/>
      <c r="O37" s="649"/>
      <c r="P37" s="684">
        <f>Dizayn!$G$64</f>
        <v>2.371</v>
      </c>
      <c r="Q37" s="684"/>
      <c r="R37" s="684"/>
      <c r="S37" s="685"/>
      <c r="T37" s="685"/>
      <c r="U37" s="685"/>
      <c r="V37" s="688" t="s">
        <v>194</v>
      </c>
      <c r="W37" s="688"/>
      <c r="X37" s="658" t="s">
        <v>192</v>
      </c>
      <c r="Y37" s="658"/>
      <c r="Z37" s="658"/>
      <c r="AA37" s="658"/>
      <c r="AB37" s="658"/>
      <c r="AC37" s="658"/>
      <c r="AD37" s="658"/>
      <c r="AE37" s="658"/>
      <c r="AF37" s="658"/>
      <c r="AG37" s="658"/>
      <c r="AI37" s="629" t="s">
        <v>437</v>
      </c>
      <c r="AJ37" s="630"/>
      <c r="AK37" s="630"/>
      <c r="AL37" s="630"/>
      <c r="AM37" s="630"/>
      <c r="AN37" s="630"/>
      <c r="AO37" s="630"/>
      <c r="AP37" s="630"/>
      <c r="AQ37" s="630"/>
      <c r="AR37" s="630"/>
      <c r="AS37" s="630"/>
      <c r="AT37" s="630"/>
      <c r="AU37" s="630"/>
      <c r="AV37" s="630"/>
      <c r="AW37" s="630"/>
      <c r="AX37" s="630"/>
      <c r="AY37" s="630"/>
      <c r="AZ37" s="630"/>
      <c r="BA37" s="630"/>
      <c r="BB37" s="630"/>
      <c r="BC37" s="630"/>
      <c r="BD37" s="630"/>
      <c r="BE37" s="630"/>
      <c r="BF37" s="630"/>
      <c r="BG37" s="630"/>
      <c r="BH37" s="630"/>
      <c r="BI37" s="630"/>
      <c r="BJ37" s="630"/>
      <c r="BK37" s="630"/>
      <c r="BL37" s="631"/>
    </row>
    <row r="38" spans="1:69" ht="14.1" customHeight="1" x14ac:dyDescent="0.25">
      <c r="A38" s="683" t="s">
        <v>229</v>
      </c>
      <c r="B38" s="683"/>
      <c r="C38" s="683"/>
      <c r="D38" s="683"/>
      <c r="E38" s="683"/>
      <c r="F38" s="683"/>
      <c r="G38" s="683"/>
      <c r="H38" s="683"/>
      <c r="I38" s="683"/>
      <c r="J38" s="763">
        <f ca="1">IFERROR((100+$J$36)/((100/$AC$45)+($J$36/$O$44)),"")</f>
        <v>2.4785817200658125</v>
      </c>
      <c r="K38" s="648"/>
      <c r="L38" s="648"/>
      <c r="M38" s="648">
        <f ca="1">IFERROR((100+$M$36)/((100/$AC$45)+($M$36/$O$44)),"")</f>
        <v>2.4785817200658125</v>
      </c>
      <c r="N38" s="648"/>
      <c r="O38" s="649"/>
      <c r="P38" s="685"/>
      <c r="Q38" s="685"/>
      <c r="R38" s="686"/>
      <c r="S38" s="685"/>
      <c r="T38" s="685"/>
      <c r="U38" s="685"/>
      <c r="V38" s="688" t="s">
        <v>152</v>
      </c>
      <c r="W38" s="688"/>
      <c r="X38" s="658" t="s">
        <v>198</v>
      </c>
      <c r="Y38" s="658"/>
      <c r="Z38" s="658"/>
      <c r="AA38" s="658"/>
      <c r="AB38" s="658"/>
      <c r="AC38" s="658"/>
      <c r="AD38" s="658"/>
      <c r="AE38" s="658"/>
      <c r="AF38" s="658"/>
      <c r="AG38" s="658"/>
      <c r="AI38" s="755" t="s">
        <v>435</v>
      </c>
      <c r="AJ38" s="756"/>
      <c r="AK38" s="756"/>
      <c r="AL38" s="756"/>
      <c r="AM38" s="756"/>
      <c r="AN38" s="756"/>
      <c r="AO38" s="756"/>
      <c r="AP38" s="756"/>
      <c r="AQ38" s="756"/>
      <c r="AR38" s="756"/>
      <c r="AS38" s="756"/>
      <c r="AT38" s="756"/>
      <c r="AU38" s="756"/>
      <c r="AV38" s="756"/>
      <c r="AW38" s="756"/>
      <c r="AX38" s="756"/>
      <c r="AY38" s="756"/>
      <c r="AZ38" s="756"/>
      <c r="BA38" s="756"/>
      <c r="BB38" s="756"/>
      <c r="BC38" s="756"/>
      <c r="BD38" s="756"/>
      <c r="BE38" s="756"/>
      <c r="BF38" s="756"/>
      <c r="BG38" s="757"/>
      <c r="BH38" s="628">
        <f ca="1">IF(ISNUMBER('3 Ekstrasyon'!$BM$20),IFERROR(AVERAGEIFS($W$14:$W$23,$W$14:$W$23,"&gt;"&amp;Dizayn!G64-0.01,$W$14:$W$23,"&lt;"&amp;Dizayn!G64+0.01),""),"")</f>
        <v>2.3713350759730751</v>
      </c>
      <c r="BI38" s="628"/>
      <c r="BJ38" s="628"/>
      <c r="BK38" s="628"/>
      <c r="BL38" s="628"/>
    </row>
    <row r="39" spans="1:69" ht="14.1" customHeight="1" x14ac:dyDescent="0.25">
      <c r="A39" s="683" t="s">
        <v>164</v>
      </c>
      <c r="B39" s="683"/>
      <c r="C39" s="683"/>
      <c r="D39" s="683"/>
      <c r="E39" s="683"/>
      <c r="F39" s="683"/>
      <c r="G39" s="683"/>
      <c r="H39" s="683"/>
      <c r="I39" s="683"/>
      <c r="J39" s="659">
        <f ca="1">IFERROR(($J$38-$J$37)/$J$38*100,"")</f>
        <v>4.3269359740896363</v>
      </c>
      <c r="K39" s="660"/>
      <c r="L39" s="660"/>
      <c r="M39" s="660">
        <f ca="1">IFERROR(($M$38-$M$37)/$M$38*100,"")</f>
        <v>4.3269359740896363</v>
      </c>
      <c r="N39" s="660"/>
      <c r="O39" s="687"/>
      <c r="P39" s="701">
        <f>Dizayn!$F$65</f>
        <v>4.3600000000000003</v>
      </c>
      <c r="Q39" s="701"/>
      <c r="R39" s="701"/>
      <c r="S39" s="702" t="str">
        <f>Dizayn!$E$65</f>
        <v>4-6</v>
      </c>
      <c r="T39" s="703"/>
      <c r="U39" s="704"/>
      <c r="V39" s="688" t="s">
        <v>195</v>
      </c>
      <c r="W39" s="688"/>
      <c r="X39" s="658" t="s">
        <v>204</v>
      </c>
      <c r="Y39" s="658"/>
      <c r="Z39" s="658"/>
      <c r="AA39" s="658"/>
      <c r="AB39" s="658"/>
      <c r="AC39" s="658"/>
      <c r="AD39" s="658"/>
      <c r="AE39" s="658"/>
      <c r="AF39" s="658"/>
      <c r="AG39" s="658"/>
      <c r="AI39" s="755" t="s">
        <v>436</v>
      </c>
      <c r="AJ39" s="756"/>
      <c r="AK39" s="756"/>
      <c r="AL39" s="756"/>
      <c r="AM39" s="756"/>
      <c r="AN39" s="756"/>
      <c r="AO39" s="756"/>
      <c r="AP39" s="756"/>
      <c r="AQ39" s="756"/>
      <c r="AR39" s="756"/>
      <c r="AS39" s="756"/>
      <c r="AT39" s="756"/>
      <c r="AU39" s="756"/>
      <c r="AV39" s="756"/>
      <c r="AW39" s="756"/>
      <c r="AX39" s="756"/>
      <c r="AY39" s="756"/>
      <c r="AZ39" s="756"/>
      <c r="BA39" s="756"/>
      <c r="BB39" s="756"/>
      <c r="BC39" s="756"/>
      <c r="BD39" s="756"/>
      <c r="BE39" s="756"/>
      <c r="BF39" s="756"/>
      <c r="BG39" s="757"/>
      <c r="BH39" s="628">
        <f ca="1">IF(ISNUMBER('3 Ekstrasyon'!$BM$20),IFERROR(AVERAGEIFS(W24:W33,W24:W33,"&gt;"&amp;Dizayn!G64-0.01,W24:W33,"&lt;"&amp;Dizayn!G64+0.01),""),"")</f>
        <v>2.3713350759730751</v>
      </c>
      <c r="BI39" s="628"/>
      <c r="BJ39" s="628"/>
      <c r="BK39" s="628"/>
      <c r="BL39" s="628"/>
    </row>
    <row r="40" spans="1:69" ht="14.1" customHeight="1" x14ac:dyDescent="0.25">
      <c r="A40" s="683" t="s">
        <v>379</v>
      </c>
      <c r="B40" s="683"/>
      <c r="C40" s="683"/>
      <c r="D40" s="683"/>
      <c r="E40" s="683"/>
      <c r="F40" s="683"/>
      <c r="G40" s="683"/>
      <c r="H40" s="683"/>
      <c r="I40" s="683"/>
      <c r="J40" s="659">
        <f ca="1">IFERROR(100-(($J$37*(100-$J$35))/$AC$44),"")</f>
        <v>13.071151363907902</v>
      </c>
      <c r="K40" s="660"/>
      <c r="L40" s="660"/>
      <c r="M40" s="660">
        <f ca="1">IFERROR(100-(($M$37*(100-$M$35))/$AC$44),"")</f>
        <v>13.071151363907902</v>
      </c>
      <c r="N40" s="660"/>
      <c r="O40" s="687"/>
      <c r="P40" s="701">
        <f>Dizayn!$F$66</f>
        <v>13.09</v>
      </c>
      <c r="Q40" s="701"/>
      <c r="R40" s="701"/>
      <c r="S40" s="700" t="str">
        <f>Dizayn!$E$66</f>
        <v>13-15</v>
      </c>
      <c r="T40" s="700"/>
      <c r="U40" s="700"/>
      <c r="V40" s="688" t="s">
        <v>60</v>
      </c>
      <c r="W40" s="688"/>
      <c r="X40" s="658" t="s">
        <v>202</v>
      </c>
      <c r="Y40" s="658"/>
      <c r="Z40" s="658"/>
      <c r="AA40" s="658"/>
      <c r="AB40" s="658"/>
      <c r="AC40" s="658"/>
      <c r="AD40" s="658"/>
      <c r="AE40" s="658"/>
      <c r="AF40" s="658"/>
      <c r="AG40" s="658"/>
      <c r="AI40" s="629" t="s">
        <v>438</v>
      </c>
      <c r="AJ40" s="630"/>
      <c r="AK40" s="630"/>
      <c r="AL40" s="630"/>
      <c r="AM40" s="630"/>
      <c r="AN40" s="630"/>
      <c r="AO40" s="630"/>
      <c r="AP40" s="630"/>
      <c r="AQ40" s="630"/>
      <c r="AR40" s="630"/>
      <c r="AS40" s="630"/>
      <c r="AT40" s="630"/>
      <c r="AU40" s="630"/>
      <c r="AV40" s="630"/>
      <c r="AW40" s="630"/>
      <c r="AX40" s="630"/>
      <c r="AY40" s="630"/>
      <c r="AZ40" s="630"/>
      <c r="BA40" s="630"/>
      <c r="BB40" s="630"/>
      <c r="BC40" s="630"/>
      <c r="BD40" s="630"/>
      <c r="BE40" s="630"/>
      <c r="BF40" s="630"/>
      <c r="BG40" s="631"/>
      <c r="BH40" s="628">
        <f>IFERROR(IFERROR(AVERAGEIFS($W$14:$W$33,$W$14:$W$33,"&gt;"&amp;Dizayn!G64-0.01,$W$14:$W$33,"&lt;"&amp;Dizayn!G64+0.01),ROUND(AVERAGE($W$14:$W$33),3)&amp;" X"),"")</f>
        <v>2.3713350759730751</v>
      </c>
      <c r="BI40" s="628"/>
      <c r="BJ40" s="628"/>
      <c r="BK40" s="628"/>
      <c r="BL40" s="628"/>
    </row>
    <row r="41" spans="1:69" ht="14.1" customHeight="1" x14ac:dyDescent="0.25">
      <c r="A41" s="683" t="s">
        <v>380</v>
      </c>
      <c r="B41" s="683"/>
      <c r="C41" s="683"/>
      <c r="D41" s="683"/>
      <c r="E41" s="683"/>
      <c r="F41" s="683"/>
      <c r="G41" s="683"/>
      <c r="H41" s="683"/>
      <c r="I41" s="683"/>
      <c r="J41" s="659">
        <f ca="1">IFERROR(($J$40-$J$39)/$J$40*100,"")</f>
        <v>66.897055556734017</v>
      </c>
      <c r="K41" s="660"/>
      <c r="L41" s="660"/>
      <c r="M41" s="660">
        <f ca="1">IFERROR(($M$40-$M$39)/$M$40*100,"")</f>
        <v>66.897055556734017</v>
      </c>
      <c r="N41" s="660"/>
      <c r="O41" s="687"/>
      <c r="P41" s="701">
        <f>Dizayn!$F$67</f>
        <v>66.69</v>
      </c>
      <c r="Q41" s="701"/>
      <c r="R41" s="701"/>
      <c r="S41" s="700" t="str">
        <f>Dizayn!$E$67</f>
        <v>60-75</v>
      </c>
      <c r="T41" s="700"/>
      <c r="U41" s="700"/>
      <c r="V41" s="688" t="s">
        <v>381</v>
      </c>
      <c r="W41" s="688"/>
      <c r="X41" s="658" t="s">
        <v>203</v>
      </c>
      <c r="Y41" s="658"/>
      <c r="Z41" s="658"/>
      <c r="AA41" s="658"/>
      <c r="AB41" s="658"/>
      <c r="AC41" s="658"/>
      <c r="AD41" s="658"/>
      <c r="AE41" s="658"/>
      <c r="AF41" s="658"/>
      <c r="AG41" s="658"/>
      <c r="AI41" s="340"/>
      <c r="AJ41" s="340"/>
      <c r="AK41" s="340"/>
      <c r="AL41" s="340"/>
      <c r="AM41" s="340"/>
      <c r="AN41" s="340"/>
      <c r="AO41" s="340"/>
      <c r="AP41" s="340"/>
      <c r="AQ41" s="340"/>
      <c r="AR41" s="340"/>
      <c r="AS41" s="340"/>
      <c r="AT41" s="340"/>
      <c r="AU41" s="340"/>
      <c r="AV41" s="340"/>
      <c r="AW41" s="340"/>
      <c r="AX41" s="340"/>
      <c r="AY41" s="340"/>
      <c r="AZ41" s="340"/>
      <c r="BA41" s="340"/>
      <c r="BB41" s="340"/>
      <c r="BC41" s="340"/>
      <c r="BD41" s="340"/>
      <c r="BE41" s="340"/>
      <c r="BF41" s="340"/>
      <c r="BG41" s="340"/>
      <c r="BH41" s="341"/>
      <c r="BI41" s="341"/>
      <c r="BJ41" s="341"/>
      <c r="BK41" s="341"/>
      <c r="BL41" s="341"/>
      <c r="BM41" s="4"/>
      <c r="BN41" s="4"/>
      <c r="BO41" s="4"/>
      <c r="BP41" s="4"/>
    </row>
    <row r="42" spans="1:69" ht="14.1" customHeight="1" x14ac:dyDescent="0.25">
      <c r="A42" s="683" t="s">
        <v>332</v>
      </c>
      <c r="B42" s="683"/>
      <c r="C42" s="683"/>
      <c r="D42" s="683"/>
      <c r="E42" s="683"/>
      <c r="F42" s="683"/>
      <c r="G42" s="683"/>
      <c r="H42" s="683"/>
      <c r="I42" s="683"/>
      <c r="J42" s="764">
        <f ca="1">IF(ISNUMBER('3 Ekstrasyon'!$BM$20),IFERROR(AVERAGE($Z$14:$Z$23),""),IFERROR(AVERAGE($Z$14:$Z$33),""))</f>
        <v>3.25</v>
      </c>
      <c r="K42" s="765"/>
      <c r="L42" s="765"/>
      <c r="M42" s="691">
        <f ca="1">IF(ISNUMBER('3 Ekstrasyon'!$BM$20),IFERROR(AVERAGE($Z$24:$Z$33),""),"")</f>
        <v>3.25</v>
      </c>
      <c r="N42" s="691"/>
      <c r="O42" s="692"/>
      <c r="P42" s="712">
        <f>Dizayn!$F$68</f>
        <v>3.25</v>
      </c>
      <c r="Q42" s="691"/>
      <c r="R42" s="692"/>
      <c r="S42" s="700" t="str">
        <f>Dizayn!$E$68</f>
        <v>2-4</v>
      </c>
      <c r="T42" s="700"/>
      <c r="U42" s="700"/>
      <c r="V42" s="688" t="s">
        <v>197</v>
      </c>
      <c r="W42" s="688"/>
      <c r="X42" s="658" t="s">
        <v>423</v>
      </c>
      <c r="Y42" s="658"/>
      <c r="Z42" s="658"/>
      <c r="AA42" s="658"/>
      <c r="AB42" s="658"/>
      <c r="AC42" s="658"/>
      <c r="AD42" s="658"/>
      <c r="AE42" s="658"/>
      <c r="AF42" s="658"/>
      <c r="AG42" s="658"/>
      <c r="AH42" s="4"/>
      <c r="AI42" s="342"/>
      <c r="AJ42" s="342"/>
      <c r="AK42" s="342"/>
      <c r="AL42" s="342"/>
      <c r="AM42" s="342"/>
      <c r="AN42" s="342"/>
      <c r="AO42" s="342"/>
      <c r="AP42" s="342"/>
      <c r="AQ42" s="342"/>
      <c r="AR42" s="342"/>
      <c r="AS42" s="342"/>
      <c r="AT42" s="342"/>
      <c r="AU42" s="342"/>
      <c r="AV42" s="342"/>
      <c r="AW42" s="342"/>
      <c r="AX42" s="342"/>
      <c r="AY42" s="342"/>
      <c r="AZ42" s="342"/>
      <c r="BA42" s="342"/>
      <c r="BB42" s="342"/>
      <c r="BC42" s="342"/>
      <c r="BD42" s="342"/>
      <c r="BE42" s="342"/>
      <c r="BF42" s="342"/>
      <c r="BG42" s="342"/>
      <c r="BH42" s="343"/>
      <c r="BI42" s="343"/>
      <c r="BJ42" s="343"/>
      <c r="BK42" s="343"/>
      <c r="BL42" s="343"/>
      <c r="BM42" s="4"/>
      <c r="BN42" s="4"/>
      <c r="BO42" s="4"/>
      <c r="BP42" s="4"/>
    </row>
    <row r="43" spans="1:69" s="4" customFormat="1" ht="14.1" customHeight="1" thickBot="1" x14ac:dyDescent="0.3">
      <c r="A43" s="693" t="s">
        <v>420</v>
      </c>
      <c r="B43" s="694"/>
      <c r="C43" s="694"/>
      <c r="D43" s="694"/>
      <c r="E43" s="694"/>
      <c r="F43" s="694"/>
      <c r="G43" s="694"/>
      <c r="H43" s="694"/>
      <c r="I43" s="695"/>
      <c r="J43" s="696">
        <f ca="1">IF(ISNUMBER('3 Ekstrasyon'!$BM$20),IFERROR(AVERAGE($AF$14:$AF$23),""),IFERROR(AVERAGE($AF$14:$AF$33),""))</f>
        <v>1166.328</v>
      </c>
      <c r="K43" s="697"/>
      <c r="L43" s="697"/>
      <c r="M43" s="698">
        <f>IFERROR(ROUND(AVERAGE($AF$24:$AF$33),0),"")</f>
        <v>1164</v>
      </c>
      <c r="N43" s="698"/>
      <c r="O43" s="699"/>
      <c r="P43" s="785">
        <f>Dizayn!$F$69</f>
        <v>1175</v>
      </c>
      <c r="Q43" s="698"/>
      <c r="R43" s="699"/>
      <c r="S43" s="705" t="str">
        <f>Dizayn!$E$69</f>
        <v>min. 750</v>
      </c>
      <c r="T43" s="706"/>
      <c r="U43" s="707"/>
      <c r="V43" s="783" t="s">
        <v>122</v>
      </c>
      <c r="W43" s="784"/>
      <c r="X43" s="782" t="s">
        <v>424</v>
      </c>
      <c r="Y43" s="782"/>
      <c r="Z43" s="782"/>
      <c r="AA43" s="782"/>
      <c r="AB43" s="782"/>
      <c r="AC43" s="782"/>
      <c r="AD43" s="782"/>
      <c r="AE43" s="782"/>
      <c r="AF43" s="782"/>
      <c r="AG43" s="782"/>
      <c r="AH43" s="54"/>
      <c r="AI43" s="754" t="s">
        <v>224</v>
      </c>
      <c r="AJ43" s="776"/>
      <c r="AK43" s="776"/>
      <c r="AL43" s="776"/>
      <c r="AM43" s="777"/>
      <c r="AN43" s="753" t="s">
        <v>218</v>
      </c>
      <c r="AO43" s="754"/>
      <c r="AP43" s="323"/>
      <c r="AQ43" s="324"/>
      <c r="AR43" s="754" t="s">
        <v>226</v>
      </c>
      <c r="AS43" s="776"/>
      <c r="AT43" s="776"/>
      <c r="AU43" s="776"/>
      <c r="AV43" s="776"/>
      <c r="AW43" s="754" t="s">
        <v>218</v>
      </c>
      <c r="AX43" s="777"/>
      <c r="AY43" s="319" t="s">
        <v>433</v>
      </c>
      <c r="AZ43" s="320"/>
      <c r="BA43" s="786" t="s">
        <v>218</v>
      </c>
      <c r="BB43" s="787"/>
      <c r="BC43" s="326"/>
      <c r="BD43" s="325"/>
      <c r="BE43" s="754" t="s">
        <v>225</v>
      </c>
      <c r="BF43" s="776"/>
      <c r="BG43" s="776"/>
      <c r="BH43" s="776"/>
      <c r="BI43" s="777"/>
      <c r="BJ43" s="753" t="s">
        <v>218</v>
      </c>
      <c r="BK43" s="753"/>
      <c r="BL43" s="344"/>
    </row>
    <row r="44" spans="1:69" ht="14.1" customHeight="1" thickTop="1" x14ac:dyDescent="0.25">
      <c r="A44" s="689" t="str">
        <f>PROPER(Dizayn!$C$3&amp;" "&amp;Dizayn!$C$6&amp;" dizayn")</f>
        <v>Keşan Şantiyesi Binder Dizayn</v>
      </c>
      <c r="B44" s="689"/>
      <c r="C44" s="669" t="s">
        <v>205</v>
      </c>
      <c r="D44" s="670"/>
      <c r="E44" s="670"/>
      <c r="F44" s="670"/>
      <c r="G44" s="670"/>
      <c r="H44" s="670"/>
      <c r="I44" s="670"/>
      <c r="J44" s="670"/>
      <c r="K44" s="670"/>
      <c r="L44" s="670"/>
      <c r="M44" s="670" t="s">
        <v>206</v>
      </c>
      <c r="N44" s="670"/>
      <c r="O44" s="674">
        <f>Dizayn!$F$46</f>
        <v>1.02</v>
      </c>
      <c r="P44" s="675"/>
      <c r="Q44" s="669" t="s">
        <v>421</v>
      </c>
      <c r="R44" s="670"/>
      <c r="S44" s="670"/>
      <c r="T44" s="670"/>
      <c r="U44" s="670"/>
      <c r="V44" s="670"/>
      <c r="W44" s="670"/>
      <c r="X44" s="670"/>
      <c r="Y44" s="670"/>
      <c r="Z44" s="670"/>
      <c r="AA44" s="670"/>
      <c r="AB44" s="670"/>
      <c r="AC44" s="674">
        <f>Dizayn!$F$48</f>
        <v>2.6080000000000001</v>
      </c>
      <c r="AD44" s="674"/>
      <c r="AE44" s="298" t="s">
        <v>227</v>
      </c>
      <c r="AF44" s="674">
        <f>Dizayn!F49</f>
        <v>2.698</v>
      </c>
      <c r="AG44" s="675"/>
      <c r="AI44" s="769" t="s">
        <v>233</v>
      </c>
      <c r="AJ44" s="770"/>
      <c r="AK44" s="771"/>
      <c r="AL44" s="751">
        <f>IFERROR(100-'1 Sıcak Silo'!$AI$20,"")</f>
        <v>57.7</v>
      </c>
      <c r="AM44" s="751"/>
      <c r="AN44" s="638">
        <f>ABS($AL$44-$O$47)</f>
        <v>0.30000000000000426</v>
      </c>
      <c r="AO44" s="752"/>
      <c r="AP44" s="345"/>
      <c r="AQ44" s="346"/>
      <c r="AR44" s="321" t="s">
        <v>233</v>
      </c>
      <c r="AS44" s="321"/>
      <c r="AT44" s="322"/>
      <c r="AU44" s="751">
        <f ca="1">IFERROR(100-'3 Ekstrasyon'!I19,"")</f>
        <v>55</v>
      </c>
      <c r="AV44" s="751"/>
      <c r="AW44" s="638">
        <f ca="1">ABS($AU$44-$O$47)</f>
        <v>2.3999999999999986</v>
      </c>
      <c r="AX44" s="638"/>
      <c r="AY44" s="751">
        <f ca="1">IF(ISNUMBER(100-'3 Ekstrasyon'!$AQ$19),100-'3 Ekstrasyon'!$AQ$19,"")</f>
        <v>59.6</v>
      </c>
      <c r="AZ44" s="751"/>
      <c r="BA44" s="638">
        <f ca="1">IFERROR(ABS($AY$44-$O$47),"")</f>
        <v>2.2000000000000028</v>
      </c>
      <c r="BB44" s="752"/>
      <c r="BC44" s="345"/>
      <c r="BD44" s="346"/>
      <c r="BE44" s="321" t="s">
        <v>233</v>
      </c>
      <c r="BF44" s="321"/>
      <c r="BG44" s="322"/>
      <c r="BH44" s="751">
        <f ca="1">IFERROR(100-'2 Malaksör'!$Q$19,"")</f>
        <v>54.8</v>
      </c>
      <c r="BI44" s="751"/>
      <c r="BJ44" s="638">
        <f ca="1">ABS($BH$44-$O$47)</f>
        <v>2.6000000000000014</v>
      </c>
      <c r="BK44" s="638"/>
      <c r="BL44" s="344"/>
      <c r="BM44" s="329"/>
      <c r="BN44" s="4"/>
      <c r="BO44" s="779"/>
      <c r="BP44" s="779"/>
      <c r="BQ44" s="4"/>
    </row>
    <row r="45" spans="1:69" ht="14.1" customHeight="1" x14ac:dyDescent="0.25">
      <c r="A45" s="690"/>
      <c r="B45" s="690"/>
      <c r="C45" s="678" t="s">
        <v>219</v>
      </c>
      <c r="D45" s="679"/>
      <c r="E45" s="679"/>
      <c r="F45" s="679"/>
      <c r="G45" s="679"/>
      <c r="H45" s="679"/>
      <c r="I45" s="679"/>
      <c r="J45" s="679"/>
      <c r="K45" s="679"/>
      <c r="L45" s="679"/>
      <c r="M45" s="679"/>
      <c r="N45" s="679"/>
      <c r="O45" s="680">
        <f>Dizayn!$F$45</f>
        <v>53.7</v>
      </c>
      <c r="P45" s="681"/>
      <c r="Q45" s="672" t="s">
        <v>220</v>
      </c>
      <c r="R45" s="673"/>
      <c r="S45" s="673"/>
      <c r="T45" s="673"/>
      <c r="U45" s="673"/>
      <c r="V45" s="673"/>
      <c r="W45" s="673"/>
      <c r="X45" s="673"/>
      <c r="Y45" s="673"/>
      <c r="Z45" s="673"/>
      <c r="AA45" s="673"/>
      <c r="AB45" s="673"/>
      <c r="AC45" s="758">
        <f>Dizayn!$F$54</f>
        <v>2.653</v>
      </c>
      <c r="AD45" s="758"/>
      <c r="AE45" s="289" t="s">
        <v>227</v>
      </c>
      <c r="AF45" s="758">
        <f>Dizayn!$F$55</f>
        <v>2.6560000000000001</v>
      </c>
      <c r="AG45" s="762"/>
      <c r="AI45" s="769" t="s">
        <v>234</v>
      </c>
      <c r="AJ45" s="770"/>
      <c r="AK45" s="771"/>
      <c r="AL45" s="751">
        <f>IFERROR('1 Sıcak Silo'!$AI$20-'1 Sıcak Silo'!$AI$24,"")</f>
        <v>36.799999999999997</v>
      </c>
      <c r="AM45" s="751"/>
      <c r="AN45" s="638">
        <f>ABS($AL$45-$O$48)</f>
        <v>0.30000000000000426</v>
      </c>
      <c r="AO45" s="752"/>
      <c r="AP45" s="345"/>
      <c r="AQ45" s="346"/>
      <c r="AR45" s="321" t="s">
        <v>234</v>
      </c>
      <c r="AS45" s="321"/>
      <c r="AT45" s="322"/>
      <c r="AU45" s="751">
        <f ca="1">IFERROR('3 Ekstrasyon'!I19-'3 Ekstrasyon'!I23,"")</f>
        <v>38.799999999999997</v>
      </c>
      <c r="AV45" s="751"/>
      <c r="AW45" s="638">
        <f ca="1">ABS($AU$45-$O$48)</f>
        <v>1.6999999999999957</v>
      </c>
      <c r="AX45" s="638"/>
      <c r="AY45" s="751">
        <f ca="1">IF(ISNUMBER('3 Ekstrasyon'!$AQ$19-'3 Ekstrasyon'!$AQ$23),'3 Ekstrasyon'!$AQ$19-'3 Ekstrasyon'!$AQ$23,"")</f>
        <v>34.199999999999996</v>
      </c>
      <c r="AZ45" s="751"/>
      <c r="BA45" s="638">
        <f ca="1">IFERROR(ABS($AY$45-$O$48),"")</f>
        <v>2.9000000000000057</v>
      </c>
      <c r="BB45" s="752"/>
      <c r="BC45" s="345"/>
      <c r="BD45" s="346"/>
      <c r="BE45" s="321" t="s">
        <v>234</v>
      </c>
      <c r="BF45" s="321"/>
      <c r="BG45" s="322"/>
      <c r="BH45" s="751">
        <f>IFERROR('2 Malaksör'!AI19-'2 Malaksör'!AI23,"")</f>
        <v>39.52992170961997</v>
      </c>
      <c r="BI45" s="751"/>
      <c r="BJ45" s="638">
        <f>ABS($BH$45-$O$48)</f>
        <v>2.4299217096199683</v>
      </c>
      <c r="BK45" s="638"/>
      <c r="BL45" s="344"/>
      <c r="BM45" s="300"/>
      <c r="BN45" s="4"/>
      <c r="BO45" s="779"/>
      <c r="BP45" s="779"/>
      <c r="BQ45" s="4"/>
    </row>
    <row r="46" spans="1:69" ht="14.1" customHeight="1" x14ac:dyDescent="0.25">
      <c r="A46" s="690"/>
      <c r="B46" s="690"/>
      <c r="C46" s="671" t="s">
        <v>207</v>
      </c>
      <c r="D46" s="671"/>
      <c r="E46" s="671"/>
      <c r="F46" s="671"/>
      <c r="G46" s="671"/>
      <c r="H46" s="671"/>
      <c r="I46" s="671"/>
      <c r="J46" s="671"/>
      <c r="K46" s="671"/>
      <c r="L46" s="672"/>
      <c r="M46" s="682" t="s">
        <v>208</v>
      </c>
      <c r="N46" s="672"/>
      <c r="O46" s="676">
        <f>Dizayn!$F$47</f>
        <v>0.67</v>
      </c>
      <c r="P46" s="677"/>
      <c r="Q46" s="672" t="s">
        <v>221</v>
      </c>
      <c r="R46" s="673"/>
      <c r="S46" s="673"/>
      <c r="T46" s="673"/>
      <c r="U46" s="673"/>
      <c r="V46" s="673"/>
      <c r="W46" s="673"/>
      <c r="X46" s="673"/>
      <c r="Y46" s="673"/>
      <c r="Z46" s="673"/>
      <c r="AA46" s="673"/>
      <c r="AB46" s="673"/>
      <c r="AC46" s="758">
        <f>Dizayn!$F$56</f>
        <v>2.601</v>
      </c>
      <c r="AD46" s="758"/>
      <c r="AE46" s="289" t="s">
        <v>227</v>
      </c>
      <c r="AF46" s="758">
        <f>Dizayn!F57</f>
        <v>2.6930000000000001</v>
      </c>
      <c r="AG46" s="762"/>
      <c r="AI46" s="769" t="s">
        <v>33</v>
      </c>
      <c r="AJ46" s="770"/>
      <c r="AK46" s="771"/>
      <c r="AL46" s="751">
        <f>IF(ISNUMBER('1 Sıcak Silo'!$AI$24),'1 Sıcak Silo'!$AI$24,"")</f>
        <v>5.5</v>
      </c>
      <c r="AM46" s="751"/>
      <c r="AN46" s="638">
        <f>ABS($AL$46-$O$49)</f>
        <v>0</v>
      </c>
      <c r="AO46" s="752"/>
      <c r="AP46" s="345"/>
      <c r="AQ46" s="346"/>
      <c r="AR46" s="321" t="s">
        <v>33</v>
      </c>
      <c r="AS46" s="321"/>
      <c r="AT46" s="322"/>
      <c r="AU46" s="751">
        <f ca="1">IF(ISNUMBER('3 Ekstrasyon'!I23),'3 Ekstrasyon'!I23,"")</f>
        <v>6.2</v>
      </c>
      <c r="AV46" s="751"/>
      <c r="AW46" s="638">
        <f ca="1">ABS($AU$46-$O$49)</f>
        <v>0.70000000000000018</v>
      </c>
      <c r="AX46" s="638"/>
      <c r="AY46" s="751">
        <f ca="1">IF(ISNUMBER('3 Ekstrasyon'!$AQ$23),'3 Ekstrasyon'!$AQ$23,"")</f>
        <v>6.2</v>
      </c>
      <c r="AZ46" s="751"/>
      <c r="BA46" s="638">
        <f ca="1">IFERROR(ABS($AY$46-$O$49),"")</f>
        <v>0.70000000000000018</v>
      </c>
      <c r="BB46" s="752"/>
      <c r="BC46" s="345"/>
      <c r="BD46" s="346"/>
      <c r="BE46" s="321" t="s">
        <v>33</v>
      </c>
      <c r="BF46" s="321"/>
      <c r="BG46" s="322"/>
      <c r="BH46" s="751">
        <f>IF(ISNUMBER('2 Malaksör'!AI23),'2 Malaksör'!AI23,"")</f>
        <v>5.6768925775343604</v>
      </c>
      <c r="BI46" s="751"/>
      <c r="BJ46" s="638">
        <f ca="1">ABS($BH$44-$O$49)</f>
        <v>49.3</v>
      </c>
      <c r="BK46" s="638"/>
      <c r="BL46" s="344"/>
      <c r="BM46" s="300"/>
      <c r="BN46" s="4"/>
      <c r="BO46" s="779"/>
      <c r="BP46" s="779"/>
      <c r="BQ46" s="4"/>
    </row>
    <row r="47" spans="1:69" ht="14.1" customHeight="1" x14ac:dyDescent="0.25">
      <c r="A47" s="690"/>
      <c r="B47" s="690"/>
      <c r="C47" s="671" t="s">
        <v>209</v>
      </c>
      <c r="D47" s="671"/>
      <c r="E47" s="671"/>
      <c r="F47" s="671"/>
      <c r="G47" s="671"/>
      <c r="H47" s="671"/>
      <c r="I47" s="671"/>
      <c r="J47" s="671"/>
      <c r="K47" s="671"/>
      <c r="L47" s="672"/>
      <c r="M47" s="682" t="s">
        <v>210</v>
      </c>
      <c r="N47" s="672"/>
      <c r="O47" s="680">
        <f>Dizayn!$F$50</f>
        <v>57.4</v>
      </c>
      <c r="P47" s="681"/>
      <c r="Q47" s="672" t="s">
        <v>222</v>
      </c>
      <c r="R47" s="673"/>
      <c r="S47" s="673"/>
      <c r="T47" s="673"/>
      <c r="U47" s="673"/>
      <c r="V47" s="673"/>
      <c r="W47" s="673"/>
      <c r="X47" s="673"/>
      <c r="Y47" s="673"/>
      <c r="Z47" s="673"/>
      <c r="AA47" s="673"/>
      <c r="AB47" s="673"/>
      <c r="AC47" s="758">
        <f>Dizayn!$F$58</f>
        <v>2.6019999999999999</v>
      </c>
      <c r="AD47" s="758"/>
      <c r="AE47" s="289" t="s">
        <v>227</v>
      </c>
      <c r="AF47" s="758">
        <f>Dizayn!F59</f>
        <v>2.7029999999999998</v>
      </c>
      <c r="AG47" s="762"/>
      <c r="AI47" s="769" t="s">
        <v>122</v>
      </c>
      <c r="AJ47" s="770"/>
      <c r="AK47" s="771"/>
      <c r="AL47" s="636">
        <f>IFERROR(100/(($AL$44/$AC$46)+($AL$45/$AC$47)+($AL$46/$AC$48)),"")</f>
        <v>2.6076939725951287</v>
      </c>
      <c r="AM47" s="636"/>
      <c r="AN47" s="632">
        <f>ABS($AL$47-$AC$44)</f>
        <v>3.0602740487140068E-4</v>
      </c>
      <c r="AO47" s="633"/>
      <c r="AP47" s="347"/>
      <c r="AQ47" s="348"/>
      <c r="AR47" s="321" t="s">
        <v>122</v>
      </c>
      <c r="AS47" s="321"/>
      <c r="AT47" s="322"/>
      <c r="AU47" s="636">
        <f ca="1">IFERROR(100/(($AU$44/$AC$46)+($AU$45/$AC$47)+($AU$46/$AC$48)),"")</f>
        <v>2.6085214235298881</v>
      </c>
      <c r="AV47" s="636"/>
      <c r="AW47" s="632">
        <f ca="1">ABS($AU$47-$AC$44)</f>
        <v>5.2142352988804319E-4</v>
      </c>
      <c r="AX47" s="632"/>
      <c r="AY47" s="636">
        <f ca="1">IFERROR(100/(($AY$44/$AC$46)+($AY$45/$AC$47)+($AY$46/$AC$48)),"")</f>
        <v>2.608475175705939</v>
      </c>
      <c r="AZ47" s="636"/>
      <c r="BA47" s="632">
        <f ca="1">IFERROR(ABS($AY$47-$AC$44),"")</f>
        <v>4.7517570593891278E-4</v>
      </c>
      <c r="BB47" s="633"/>
      <c r="BC47" s="347"/>
      <c r="BD47" s="348"/>
      <c r="BE47" s="321" t="s">
        <v>122</v>
      </c>
      <c r="BF47" s="321"/>
      <c r="BG47" s="322"/>
      <c r="BH47" s="636">
        <f ca="1">IFERROR(100/(($BH$44/$AC$46)+($BH$45/$AC$47)+(BH46/$AC$48)),"")</f>
        <v>2.6077472053735997</v>
      </c>
      <c r="BI47" s="636"/>
      <c r="BJ47" s="632">
        <f ca="1">ABS($BH$47-$AC$44)</f>
        <v>2.5279462640037664E-4</v>
      </c>
      <c r="BK47" s="632"/>
      <c r="BL47" s="344"/>
      <c r="BM47" s="300"/>
      <c r="BN47" s="4"/>
      <c r="BO47" s="780"/>
      <c r="BP47" s="780"/>
      <c r="BQ47" s="4"/>
    </row>
    <row r="48" spans="1:69" ht="14.1" customHeight="1" x14ac:dyDescent="0.25">
      <c r="A48" s="690"/>
      <c r="B48" s="690"/>
      <c r="C48" s="671" t="s">
        <v>211</v>
      </c>
      <c r="D48" s="671"/>
      <c r="E48" s="671"/>
      <c r="F48" s="671"/>
      <c r="G48" s="671"/>
      <c r="H48" s="671"/>
      <c r="I48" s="671"/>
      <c r="J48" s="671"/>
      <c r="K48" s="671"/>
      <c r="L48" s="672"/>
      <c r="M48" s="682" t="s">
        <v>212</v>
      </c>
      <c r="N48" s="672"/>
      <c r="O48" s="680">
        <f>Dizayn!$F$51</f>
        <v>37.1</v>
      </c>
      <c r="P48" s="681"/>
      <c r="Q48" s="672" t="s">
        <v>215</v>
      </c>
      <c r="R48" s="673"/>
      <c r="S48" s="673"/>
      <c r="T48" s="673"/>
      <c r="U48" s="673"/>
      <c r="V48" s="673"/>
      <c r="W48" s="673"/>
      <c r="X48" s="673"/>
      <c r="Y48" s="673"/>
      <c r="Z48" s="673"/>
      <c r="AA48" s="673"/>
      <c r="AB48" s="673"/>
      <c r="AC48" s="758">
        <f>Dizayn!$F$60</f>
        <v>2.7210000000000001</v>
      </c>
      <c r="AD48" s="758"/>
      <c r="AE48" s="289"/>
      <c r="AF48" s="759"/>
      <c r="AG48" s="680"/>
      <c r="AI48" s="769" t="s">
        <v>216</v>
      </c>
      <c r="AJ48" s="770"/>
      <c r="AK48" s="771"/>
      <c r="AL48" s="636">
        <f>IFERROR(100/(($AL$44/$AF$46)+($AL$45/$AF$47)+($AL$46/$AC$48)),"")</f>
        <v>2.6982005620427549</v>
      </c>
      <c r="AM48" s="636"/>
      <c r="AN48" s="632">
        <f>ABS($AL$48-$AF$44)</f>
        <v>2.0056204275498146E-4</v>
      </c>
      <c r="AO48" s="633"/>
      <c r="AP48" s="347"/>
      <c r="AQ48" s="348"/>
      <c r="AR48" s="321" t="s">
        <v>216</v>
      </c>
      <c r="AS48" s="321"/>
      <c r="AT48" s="322"/>
      <c r="AU48" s="636">
        <f ca="1">IFERROR(100/(($AU$44/$AF$46)+($AU$45/$AF$47)+($AU$46/$AC$48)),"")</f>
        <v>2.6985953832657552</v>
      </c>
      <c r="AV48" s="636"/>
      <c r="AW48" s="632">
        <f ca="1">ABS($AU$48-$AF$44)</f>
        <v>5.9538326575525602E-4</v>
      </c>
      <c r="AX48" s="632"/>
      <c r="AY48" s="636">
        <f ca="1">IFERROR(100/(($AY$44/$AF$46)+($AY$45/$AF$47)+($AY$46/$AC$48)),"")</f>
        <v>2.6981352571086434</v>
      </c>
      <c r="AZ48" s="636"/>
      <c r="BA48" s="632">
        <f ca="1">IFERROR(ABS($AY$48-$AF$44),"")</f>
        <v>1.3525710864348284E-4</v>
      </c>
      <c r="BB48" s="633"/>
      <c r="BC48" s="347"/>
      <c r="BD48" s="348"/>
      <c r="BE48" s="321" t="s">
        <v>216</v>
      </c>
      <c r="BF48" s="321"/>
      <c r="BG48" s="322"/>
      <c r="BH48" s="636">
        <f ca="1">IFERROR(100/(($BH$44/$AF$46)+($BH$45/$AF$47)+($BH$46/$AC$48)),"")</f>
        <v>2.6983385943560769</v>
      </c>
      <c r="BI48" s="636"/>
      <c r="BJ48" s="632">
        <f ca="1">ABS($BH$48-$AF$44)</f>
        <v>3.3859435607697108E-4</v>
      </c>
      <c r="BK48" s="632"/>
      <c r="BL48" s="344"/>
      <c r="BM48" s="300"/>
      <c r="BN48" s="4"/>
      <c r="BO48" s="780"/>
      <c r="BP48" s="780"/>
      <c r="BQ48" s="4"/>
    </row>
    <row r="49" spans="1:69" ht="14.1" customHeight="1" x14ac:dyDescent="0.25">
      <c r="A49" s="690"/>
      <c r="B49" s="690"/>
      <c r="C49" s="671" t="s">
        <v>213</v>
      </c>
      <c r="D49" s="671"/>
      <c r="E49" s="671"/>
      <c r="F49" s="671"/>
      <c r="G49" s="671"/>
      <c r="H49" s="671"/>
      <c r="I49" s="671"/>
      <c r="J49" s="671"/>
      <c r="K49" s="671"/>
      <c r="L49" s="672"/>
      <c r="M49" s="682" t="s">
        <v>214</v>
      </c>
      <c r="N49" s="672"/>
      <c r="O49" s="680">
        <f>Dizayn!$F$52</f>
        <v>5.5</v>
      </c>
      <c r="P49" s="681"/>
      <c r="Q49" s="672" t="s">
        <v>422</v>
      </c>
      <c r="R49" s="673"/>
      <c r="S49" s="673"/>
      <c r="T49" s="673"/>
      <c r="U49" s="673"/>
      <c r="V49" s="673"/>
      <c r="W49" s="673"/>
      <c r="X49" s="673"/>
      <c r="Y49" s="673"/>
      <c r="Z49" s="673"/>
      <c r="AA49" s="673"/>
      <c r="AB49" s="673"/>
      <c r="AC49" s="760">
        <f>Dizayn!$E$61</f>
        <v>1150</v>
      </c>
      <c r="AD49" s="760"/>
      <c r="AE49" s="289" t="s">
        <v>227</v>
      </c>
      <c r="AF49" s="760">
        <v>75</v>
      </c>
      <c r="AG49" s="761"/>
      <c r="AI49" s="769" t="s">
        <v>217</v>
      </c>
      <c r="AJ49" s="770"/>
      <c r="AK49" s="771"/>
      <c r="AL49" s="636">
        <f>IFERROR(($AL$47+$AL$48)/2,"")</f>
        <v>2.6529472673189418</v>
      </c>
      <c r="AM49" s="636"/>
      <c r="AN49" s="632">
        <f>ABS($AL$49-$AF$45)</f>
        <v>3.0527326810583233E-3</v>
      </c>
      <c r="AO49" s="633"/>
      <c r="AP49" s="347"/>
      <c r="AQ49" s="348"/>
      <c r="AR49" s="321" t="s">
        <v>217</v>
      </c>
      <c r="AS49" s="321"/>
      <c r="AT49" s="322"/>
      <c r="AU49" s="636">
        <f ca="1">IFERROR(($AU$47+$AU$48)/2,"")</f>
        <v>2.6535584033978217</v>
      </c>
      <c r="AV49" s="636"/>
      <c r="AW49" s="632">
        <f ca="1">ABS($AU$49-$AF$45)</f>
        <v>2.4415966021784641E-3</v>
      </c>
      <c r="AX49" s="632"/>
      <c r="AY49" s="636">
        <f ca="1">IFERROR(($AY$47+$AW$48)/2,"")</f>
        <v>1.3045352794858471</v>
      </c>
      <c r="AZ49" s="636"/>
      <c r="BA49" s="632">
        <f ca="1">IFERROR(ABS($AY$49-$AF$45),"")</f>
        <v>1.351464720514153</v>
      </c>
      <c r="BB49" s="633"/>
      <c r="BC49" s="347"/>
      <c r="BD49" s="348"/>
      <c r="BE49" s="321" t="s">
        <v>217</v>
      </c>
      <c r="BF49" s="321"/>
      <c r="BG49" s="322"/>
      <c r="BH49" s="636">
        <f ca="1">IFERROR(($BH$47+$BH$48)/2,"")</f>
        <v>2.6530428998648383</v>
      </c>
      <c r="BI49" s="636"/>
      <c r="BJ49" s="632">
        <f ca="1">ABS($BH$49-$AF$45)</f>
        <v>2.9571001351618165E-3</v>
      </c>
      <c r="BK49" s="632"/>
      <c r="BL49" s="344"/>
      <c r="BM49" s="300"/>
      <c r="BN49" s="4"/>
      <c r="BO49" s="780"/>
      <c r="BP49" s="780"/>
      <c r="BQ49" s="4"/>
    </row>
    <row r="50" spans="1:69" ht="14.1" customHeight="1" x14ac:dyDescent="0.25">
      <c r="A50" s="177"/>
      <c r="B50" s="178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80"/>
      <c r="AD50" s="180"/>
      <c r="AE50" s="180"/>
      <c r="AF50" s="180"/>
      <c r="AG50" s="181"/>
      <c r="AI50" s="773" t="s">
        <v>197</v>
      </c>
      <c r="AJ50" s="774"/>
      <c r="AK50" s="775"/>
      <c r="AL50" s="778">
        <f>IFERROR((($AL$49-$AL$47)/($AL$49*$AL$47))*100*$O$44,"")</f>
        <v>0.66721397638048352</v>
      </c>
      <c r="AM50" s="778"/>
      <c r="AN50" s="634">
        <f>ABS($AL$50-$O$46)</f>
        <v>2.78602361951652E-3</v>
      </c>
      <c r="AO50" s="635"/>
      <c r="AP50" s="349"/>
      <c r="AQ50" s="350"/>
      <c r="AR50" s="327" t="s">
        <v>197</v>
      </c>
      <c r="AS50" s="327"/>
      <c r="AT50" s="328"/>
      <c r="AU50" s="778">
        <f ca="1">IFERROR((($AU$49-$AU$47)/($AU$49*$AU$47))*100*$O$44,"")</f>
        <v>0.66366111553089457</v>
      </c>
      <c r="AV50" s="778"/>
      <c r="AW50" s="634">
        <f ca="1">ABS($AU$50-$O$46)</f>
        <v>6.3388844691054658E-3</v>
      </c>
      <c r="AX50" s="634"/>
      <c r="AY50" s="637">
        <f ca="1">IFERROR((($AY$49-$AY$47)/($AY$49*$AY$47))*100*$O$44,"")</f>
        <v>-39.085458304679179</v>
      </c>
      <c r="AZ50" s="637"/>
      <c r="BA50" s="634">
        <f ca="1">IFERROR(ABS($AY$50-$O$46),"")</f>
        <v>39.755458304679181</v>
      </c>
      <c r="BB50" s="635"/>
      <c r="BC50" s="349"/>
      <c r="BD50" s="350"/>
      <c r="BE50" s="327" t="s">
        <v>197</v>
      </c>
      <c r="BF50" s="327"/>
      <c r="BG50" s="328"/>
      <c r="BH50" s="778">
        <f ca="1">IFERROR((($BH$49-$BH$47)/($BH$49*$BH$47))*100*$O$44,"")</f>
        <v>0.66780141249510327</v>
      </c>
      <c r="BI50" s="778"/>
      <c r="BJ50" s="634">
        <f ca="1">ABS($BH$50-$O$46)</f>
        <v>2.1985875048967651E-3</v>
      </c>
      <c r="BK50" s="634"/>
      <c r="BL50" s="344"/>
      <c r="BM50" s="300"/>
      <c r="BN50" s="4"/>
      <c r="BO50" s="781"/>
      <c r="BP50" s="781"/>
      <c r="BQ50" s="4"/>
    </row>
    <row r="51" spans="1:69" ht="14.1" customHeight="1" x14ac:dyDescent="0.25">
      <c r="A51" s="168"/>
      <c r="B51" s="161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182"/>
      <c r="AD51" s="182"/>
      <c r="AE51" s="182"/>
      <c r="AF51" s="182"/>
      <c r="AG51" s="183"/>
      <c r="AI51" s="351"/>
      <c r="AJ51" s="351"/>
      <c r="AK51" s="351"/>
      <c r="AL51" s="351"/>
      <c r="AM51" s="351"/>
      <c r="AN51" s="351"/>
      <c r="AO51" s="351"/>
      <c r="AP51" s="330"/>
      <c r="AQ51" s="330"/>
      <c r="AR51" s="351"/>
      <c r="AS51" s="351"/>
      <c r="AT51" s="351"/>
      <c r="AU51" s="351"/>
      <c r="AV51" s="351"/>
      <c r="AW51" s="351"/>
      <c r="AX51" s="351"/>
      <c r="AY51" s="351"/>
      <c r="AZ51" s="351"/>
      <c r="BA51" s="351"/>
      <c r="BB51" s="351"/>
      <c r="BC51" s="330"/>
      <c r="BD51" s="330"/>
      <c r="BE51" s="351"/>
      <c r="BF51" s="351"/>
      <c r="BG51" s="351"/>
      <c r="BH51" s="351"/>
      <c r="BI51" s="351"/>
      <c r="BJ51" s="351"/>
      <c r="BK51" s="351"/>
      <c r="BL51" s="330"/>
      <c r="BM51" s="300"/>
      <c r="BN51" s="4"/>
      <c r="BO51" s="4"/>
      <c r="BP51" s="4"/>
      <c r="BQ51" s="4"/>
    </row>
    <row r="52" spans="1:69" ht="14.1" customHeight="1" x14ac:dyDescent="0.25">
      <c r="A52" s="168"/>
      <c r="B52" s="161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182"/>
      <c r="AD52" s="182"/>
      <c r="AE52" s="182"/>
      <c r="AF52" s="182"/>
      <c r="AG52" s="183"/>
      <c r="AI52" s="330"/>
      <c r="AJ52" s="330"/>
      <c r="AK52" s="330"/>
      <c r="AL52" s="330"/>
      <c r="AM52" s="330"/>
      <c r="AN52" s="330"/>
      <c r="AO52" s="330"/>
      <c r="AP52" s="330"/>
      <c r="AQ52" s="330"/>
      <c r="AR52" s="330"/>
      <c r="AS52" s="330"/>
      <c r="AT52" s="330"/>
      <c r="AU52" s="330"/>
      <c r="AV52" s="330"/>
      <c r="AW52" s="330"/>
      <c r="AX52" s="330"/>
      <c r="AY52" s="330"/>
      <c r="AZ52" s="330"/>
      <c r="BA52" s="330"/>
      <c r="BB52" s="330"/>
      <c r="BC52" s="330"/>
      <c r="BD52" s="330"/>
      <c r="BE52" s="330"/>
      <c r="BF52" s="330"/>
      <c r="BG52" s="330"/>
      <c r="BH52" s="330"/>
      <c r="BI52" s="330"/>
      <c r="BJ52" s="330"/>
      <c r="BK52" s="330"/>
      <c r="BL52" s="330"/>
      <c r="BN52" s="4"/>
      <c r="BO52" s="4"/>
      <c r="BP52" s="4"/>
      <c r="BQ52" s="4"/>
    </row>
    <row r="53" spans="1:69" ht="14.1" customHeight="1" x14ac:dyDescent="0.25">
      <c r="A53" s="168"/>
      <c r="B53" s="161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182"/>
      <c r="AD53" s="182"/>
      <c r="AE53" s="182"/>
      <c r="AF53" s="182"/>
      <c r="AG53" s="183"/>
      <c r="AI53" s="330"/>
      <c r="AJ53" s="330"/>
      <c r="AK53" s="330"/>
      <c r="AL53" s="330"/>
      <c r="AM53" s="330"/>
      <c r="AN53" s="330"/>
      <c r="AO53" s="330"/>
      <c r="AP53" s="330"/>
      <c r="AQ53" s="330"/>
      <c r="AR53" s="330"/>
      <c r="AS53" s="330"/>
      <c r="AT53" s="330"/>
      <c r="AU53" s="330"/>
      <c r="AV53" s="330"/>
      <c r="AW53" s="330"/>
      <c r="AX53" s="330"/>
      <c r="AY53" s="330"/>
      <c r="AZ53" s="330"/>
      <c r="BA53" s="330"/>
      <c r="BB53" s="330"/>
      <c r="BC53" s="330"/>
      <c r="BD53" s="330"/>
      <c r="BE53" s="330"/>
      <c r="BF53" s="330"/>
      <c r="BG53" s="330"/>
      <c r="BH53" s="330"/>
      <c r="BI53" s="330"/>
      <c r="BJ53" s="352"/>
      <c r="BK53" s="352"/>
      <c r="BL53" s="330"/>
      <c r="BN53" s="4"/>
      <c r="BO53" s="4"/>
      <c r="BP53" s="4"/>
      <c r="BQ53" s="4"/>
    </row>
    <row r="54" spans="1:69" ht="14.1" customHeight="1" x14ac:dyDescent="0.25">
      <c r="A54" s="168"/>
      <c r="B54" s="161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182"/>
      <c r="AD54" s="182"/>
      <c r="AE54" s="182"/>
      <c r="AF54" s="182"/>
      <c r="AG54" s="183"/>
      <c r="AI54" s="330"/>
      <c r="AJ54" s="330"/>
      <c r="AK54" s="330"/>
      <c r="AL54" s="330"/>
      <c r="AM54" s="330"/>
      <c r="AN54" s="330"/>
      <c r="AO54" s="330"/>
      <c r="AP54" s="330"/>
      <c r="AQ54" s="330"/>
      <c r="AR54" s="330"/>
      <c r="AS54" s="330"/>
      <c r="AT54" s="330"/>
      <c r="AU54" s="330"/>
      <c r="AV54" s="330"/>
      <c r="AW54" s="330"/>
      <c r="AX54" s="330"/>
      <c r="AY54" s="330"/>
      <c r="AZ54" s="330"/>
      <c r="BA54" s="330"/>
      <c r="BB54" s="352"/>
      <c r="BC54" s="352"/>
      <c r="BD54" s="352"/>
      <c r="BE54" s="352"/>
      <c r="BF54" s="352"/>
      <c r="BG54" s="352"/>
      <c r="BH54" s="352"/>
      <c r="BI54" s="352"/>
      <c r="BJ54" s="352"/>
      <c r="BK54" s="352"/>
      <c r="BL54" s="330"/>
    </row>
    <row r="55" spans="1:69" ht="14.1" customHeight="1" x14ac:dyDescent="0.25">
      <c r="A55" s="168"/>
      <c r="B55" s="161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182"/>
      <c r="AD55" s="182"/>
      <c r="AE55" s="182"/>
      <c r="AF55" s="182"/>
      <c r="AG55" s="183"/>
      <c r="AI55" s="330"/>
      <c r="AJ55" s="330"/>
      <c r="AK55" s="330"/>
      <c r="AL55" s="330"/>
      <c r="AM55" s="330"/>
      <c r="AN55" s="330"/>
      <c r="AO55" s="330"/>
      <c r="AP55" s="330"/>
      <c r="AQ55" s="330"/>
      <c r="AR55" s="330"/>
      <c r="AS55" s="330"/>
      <c r="AT55" s="330"/>
      <c r="AU55" s="330"/>
      <c r="AV55" s="330"/>
      <c r="AW55" s="330"/>
      <c r="AX55" s="330"/>
      <c r="AY55" s="330"/>
      <c r="AZ55" s="330"/>
      <c r="BA55" s="330"/>
      <c r="BB55" s="352"/>
      <c r="BC55" s="352"/>
      <c r="BD55" s="352"/>
      <c r="BE55" s="352"/>
      <c r="BF55" s="352"/>
      <c r="BG55" s="352"/>
      <c r="BH55" s="352"/>
      <c r="BI55" s="352"/>
      <c r="BJ55" s="352"/>
      <c r="BK55" s="352"/>
      <c r="BL55" s="330"/>
    </row>
    <row r="56" spans="1:69" ht="14.1" customHeight="1" x14ac:dyDescent="0.25">
      <c r="A56" s="168"/>
      <c r="B56" s="161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182"/>
      <c r="AD56" s="182"/>
      <c r="AE56" s="182"/>
      <c r="AF56" s="182"/>
      <c r="AG56" s="183"/>
      <c r="AI56" s="330"/>
      <c r="AJ56" s="330"/>
      <c r="AK56" s="330"/>
      <c r="AL56" s="330"/>
      <c r="AM56" s="330"/>
      <c r="AN56" s="330"/>
      <c r="AO56" s="330"/>
      <c r="AP56" s="330"/>
      <c r="AQ56" s="330"/>
      <c r="AR56" s="330"/>
      <c r="AS56" s="330"/>
      <c r="AT56" s="330"/>
      <c r="AU56" s="330"/>
      <c r="AV56" s="330"/>
      <c r="AW56" s="330"/>
      <c r="AX56" s="330"/>
      <c r="AY56" s="330"/>
      <c r="AZ56" s="330"/>
      <c r="BA56" s="330"/>
      <c r="BB56" s="352"/>
      <c r="BC56" s="352"/>
      <c r="BD56" s="352"/>
      <c r="BE56" s="352"/>
      <c r="BF56" s="352"/>
      <c r="BG56" s="352"/>
      <c r="BH56" s="352"/>
      <c r="BI56" s="352"/>
      <c r="BJ56" s="352"/>
      <c r="BK56" s="352"/>
      <c r="BL56" s="330"/>
    </row>
    <row r="57" spans="1:69" ht="14.1" customHeight="1" x14ac:dyDescent="0.25">
      <c r="A57" s="168"/>
      <c r="B57" s="161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182"/>
      <c r="AD57" s="182"/>
      <c r="AE57" s="182"/>
      <c r="AF57" s="182"/>
      <c r="AG57" s="183"/>
      <c r="AI57" s="330"/>
      <c r="AJ57" s="330"/>
      <c r="AK57" s="330"/>
      <c r="AL57" s="330"/>
      <c r="AM57" s="330"/>
      <c r="AN57" s="330"/>
      <c r="AO57" s="330"/>
      <c r="AP57" s="330"/>
      <c r="AQ57" s="330"/>
      <c r="AR57" s="330"/>
      <c r="AS57" s="330"/>
      <c r="AT57" s="330"/>
      <c r="AU57" s="330"/>
      <c r="AV57" s="330"/>
      <c r="AW57" s="330"/>
      <c r="AX57" s="330"/>
      <c r="AY57" s="330"/>
      <c r="AZ57" s="330"/>
      <c r="BA57" s="330"/>
      <c r="BB57" s="352"/>
      <c r="BC57" s="352"/>
      <c r="BD57" s="352"/>
      <c r="BE57" s="352"/>
      <c r="BF57" s="352"/>
      <c r="BG57" s="352"/>
      <c r="BH57" s="352"/>
      <c r="BI57" s="352"/>
      <c r="BJ57" s="352"/>
      <c r="BK57" s="352"/>
      <c r="BL57" s="330"/>
    </row>
    <row r="58" spans="1:69" ht="14.1" customHeight="1" x14ac:dyDescent="0.25">
      <c r="A58" s="68"/>
      <c r="B58" s="56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184"/>
      <c r="AD58" s="184"/>
      <c r="AE58" s="184"/>
      <c r="AF58" s="184"/>
      <c r="AG58" s="63"/>
      <c r="AI58" s="330"/>
      <c r="AJ58" s="330"/>
      <c r="AK58" s="330"/>
      <c r="AL58" s="330"/>
      <c r="AM58" s="330"/>
      <c r="AN58" s="330"/>
      <c r="AO58" s="330"/>
      <c r="AP58" s="330"/>
      <c r="AQ58" s="330"/>
      <c r="AR58" s="330"/>
      <c r="AS58" s="330"/>
      <c r="AT58" s="330"/>
      <c r="AU58" s="330"/>
      <c r="AV58" s="330"/>
      <c r="AW58" s="330"/>
      <c r="AX58" s="330"/>
      <c r="AY58" s="330"/>
      <c r="AZ58" s="330"/>
      <c r="BA58" s="330"/>
      <c r="BB58" s="352"/>
      <c r="BC58" s="352"/>
      <c r="BD58" s="352"/>
      <c r="BE58" s="352"/>
      <c r="BF58" s="352"/>
      <c r="BG58" s="352"/>
      <c r="BH58" s="352"/>
      <c r="BI58" s="352"/>
      <c r="BJ58" s="352"/>
      <c r="BK58" s="352"/>
      <c r="BL58" s="330"/>
    </row>
    <row r="59" spans="1:69" ht="14.1" customHeight="1" x14ac:dyDescent="0.25">
      <c r="A59" s="4"/>
      <c r="B59" s="161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182"/>
      <c r="AD59" s="182"/>
      <c r="AE59" s="182"/>
      <c r="AF59" s="182"/>
      <c r="AG59" s="4"/>
      <c r="BA59" s="4"/>
      <c r="BB59" s="299"/>
      <c r="BC59" s="299"/>
      <c r="BD59" s="299"/>
      <c r="BE59" s="299"/>
      <c r="BF59" s="299"/>
      <c r="BG59" s="299"/>
      <c r="BH59" s="299"/>
      <c r="BI59" s="299"/>
      <c r="BJ59" s="299"/>
      <c r="BK59" s="299"/>
      <c r="BL59" s="4"/>
    </row>
    <row r="60" spans="1:69" ht="14.1" customHeight="1" x14ac:dyDescent="0.25">
      <c r="A60" s="4"/>
      <c r="B60" s="161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182"/>
      <c r="AD60" s="182"/>
      <c r="AE60" s="182"/>
      <c r="AF60" s="182"/>
      <c r="AG60" s="4"/>
      <c r="BA60" s="4"/>
      <c r="BB60" s="299"/>
      <c r="BC60" s="299"/>
      <c r="BD60" s="299"/>
      <c r="BE60" s="299"/>
      <c r="BF60" s="299"/>
      <c r="BG60" s="299"/>
      <c r="BH60" s="299"/>
      <c r="BI60" s="299"/>
      <c r="BJ60" s="299"/>
      <c r="BK60" s="299"/>
      <c r="BL60" s="4"/>
    </row>
    <row r="61" spans="1:69" ht="14.1" customHeight="1" x14ac:dyDescent="0.25">
      <c r="A61" s="4"/>
      <c r="B61" s="161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182"/>
      <c r="AD61" s="182"/>
      <c r="AE61" s="182"/>
      <c r="AF61" s="182"/>
      <c r="AG61" s="4"/>
      <c r="BA61" s="4"/>
      <c r="BB61" s="299"/>
      <c r="BC61" s="299"/>
      <c r="BD61" s="299"/>
      <c r="BE61" s="299"/>
      <c r="BF61" s="299"/>
      <c r="BG61" s="299"/>
      <c r="BH61" s="299"/>
      <c r="BI61" s="299"/>
      <c r="BJ61" s="4"/>
      <c r="BK61" s="4"/>
      <c r="BL61" s="4"/>
    </row>
    <row r="62" spans="1:69" ht="14.1" customHeight="1" x14ac:dyDescent="0.25">
      <c r="A62" s="4"/>
      <c r="B62" s="161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182"/>
      <c r="AD62" s="182"/>
      <c r="AE62" s="182"/>
      <c r="AF62" s="182"/>
      <c r="AG62" s="4"/>
      <c r="BA62" s="4"/>
      <c r="BB62" s="4"/>
      <c r="BC62" s="4"/>
      <c r="BD62" s="4"/>
      <c r="BE62" s="4"/>
      <c r="BF62" s="4"/>
      <c r="BG62" s="4"/>
      <c r="BH62" s="4"/>
      <c r="BI62" s="4"/>
    </row>
    <row r="63" spans="1:69" ht="14.1" customHeight="1" x14ac:dyDescent="0.25">
      <c r="A63" s="4"/>
      <c r="B63" s="161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182"/>
      <c r="AD63" s="182"/>
      <c r="AE63" s="182"/>
      <c r="AF63" s="182"/>
      <c r="AG63" s="4"/>
    </row>
    <row r="64" spans="1:69" ht="14.1" customHeight="1" x14ac:dyDescent="0.25">
      <c r="A64" s="4"/>
      <c r="B64" s="161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182"/>
      <c r="AD64" s="182"/>
      <c r="AE64" s="182"/>
      <c r="AF64" s="182"/>
      <c r="AG64" s="4"/>
    </row>
    <row r="65" spans="1:33" ht="14.1" customHeight="1" x14ac:dyDescent="0.25">
      <c r="A65" s="4"/>
      <c r="B65" s="161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182"/>
      <c r="AD65" s="182"/>
      <c r="AE65" s="182"/>
      <c r="AF65" s="182"/>
      <c r="AG65" s="4"/>
    </row>
    <row r="66" spans="1:33" ht="14.1" customHeight="1" x14ac:dyDescent="0.25">
      <c r="A66" s="4"/>
      <c r="B66" s="161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182"/>
      <c r="AD66" s="182"/>
      <c r="AE66" s="182"/>
      <c r="AF66" s="182"/>
      <c r="AG66" s="4"/>
    </row>
    <row r="67" spans="1:33" ht="14.1" customHeight="1" x14ac:dyDescent="0.25">
      <c r="A67" s="4"/>
      <c r="B67" s="161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182"/>
      <c r="AD67" s="182"/>
      <c r="AE67" s="182"/>
      <c r="AF67" s="182"/>
      <c r="AG67" s="4"/>
    </row>
    <row r="68" spans="1:33" ht="14.1" customHeight="1" x14ac:dyDescent="0.25">
      <c r="A68" s="4"/>
      <c r="B68" s="161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182"/>
      <c r="AD68" s="182"/>
      <c r="AE68" s="182"/>
      <c r="AF68" s="182"/>
      <c r="AG68" s="4"/>
    </row>
    <row r="69" spans="1:33" ht="14.1" customHeight="1" x14ac:dyDescent="0.25">
      <c r="A69" s="4"/>
      <c r="B69" s="16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182"/>
      <c r="AD69" s="182"/>
      <c r="AE69" s="182"/>
      <c r="AF69" s="182"/>
      <c r="AG69" s="4"/>
    </row>
    <row r="70" spans="1:33" ht="14.1" customHeight="1" x14ac:dyDescent="0.25">
      <c r="A70" s="4"/>
      <c r="B70" s="161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182"/>
      <c r="AD70" s="182"/>
      <c r="AE70" s="182"/>
      <c r="AF70" s="182"/>
      <c r="AG70" s="4"/>
    </row>
    <row r="71" spans="1:33" ht="14.1" customHeight="1" x14ac:dyDescent="0.25">
      <c r="A71" s="4"/>
      <c r="B71" s="161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182"/>
      <c r="AD71" s="182"/>
      <c r="AE71" s="182"/>
      <c r="AF71" s="182"/>
      <c r="AG71" s="4"/>
    </row>
    <row r="72" spans="1:33" ht="14.1" customHeight="1" x14ac:dyDescent="0.25">
      <c r="A72" s="4"/>
      <c r="B72" s="161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182"/>
      <c r="AD72" s="182"/>
      <c r="AE72" s="182"/>
      <c r="AF72" s="182"/>
      <c r="AG72" s="4"/>
    </row>
    <row r="73" spans="1:33" ht="14.1" customHeight="1" x14ac:dyDescent="0.25">
      <c r="A73" s="4"/>
      <c r="B73" s="161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182"/>
      <c r="AD73" s="182"/>
      <c r="AE73" s="182"/>
      <c r="AF73" s="182"/>
      <c r="AG73" s="4"/>
    </row>
    <row r="74" spans="1:33" ht="14.1" customHeight="1" x14ac:dyDescent="0.25">
      <c r="A74" s="4"/>
      <c r="B74" s="161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182"/>
      <c r="AD74" s="182"/>
      <c r="AE74" s="182"/>
      <c r="AF74" s="182"/>
      <c r="AG74" s="4"/>
    </row>
    <row r="75" spans="1:33" ht="14.1" customHeight="1" x14ac:dyDescent="0.25">
      <c r="A75" s="4"/>
      <c r="B75" s="161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182"/>
      <c r="AD75" s="182"/>
      <c r="AE75" s="182"/>
      <c r="AF75" s="182"/>
      <c r="AG75" s="4"/>
    </row>
    <row r="76" spans="1:33" ht="14.1" customHeight="1" x14ac:dyDescent="0.25">
      <c r="A76" s="4"/>
      <c r="B76" s="161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182"/>
      <c r="AD76" s="182"/>
      <c r="AE76" s="182"/>
      <c r="AF76" s="182"/>
      <c r="AG76" s="4"/>
    </row>
    <row r="77" spans="1:33" ht="14.1" customHeight="1" x14ac:dyDescent="0.25">
      <c r="A77" s="4"/>
      <c r="B77" s="161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182"/>
      <c r="AD77" s="182"/>
      <c r="AE77" s="182"/>
      <c r="AF77" s="182"/>
      <c r="AG77" s="4"/>
    </row>
    <row r="78" spans="1:33" ht="14.1" customHeight="1" x14ac:dyDescent="0.25">
      <c r="A78" s="4"/>
      <c r="B78" s="161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182"/>
      <c r="AD78" s="182"/>
      <c r="AE78" s="182"/>
      <c r="AF78" s="182"/>
      <c r="AG78" s="4"/>
    </row>
    <row r="79" spans="1:33" ht="14.1" customHeight="1" x14ac:dyDescent="0.25">
      <c r="A79" s="4"/>
      <c r="B79" s="161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182"/>
      <c r="AD79" s="182"/>
      <c r="AE79" s="182"/>
      <c r="AF79" s="182"/>
      <c r="AG79" s="4"/>
    </row>
    <row r="80" spans="1:33" ht="14.1" customHeight="1" x14ac:dyDescent="0.25">
      <c r="A80" s="4"/>
      <c r="B80" s="161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182"/>
      <c r="AD80" s="182"/>
      <c r="AE80" s="182"/>
      <c r="AF80" s="182"/>
      <c r="AG80" s="4"/>
    </row>
    <row r="81" spans="1:33" ht="14.1" customHeight="1" x14ac:dyDescent="0.25">
      <c r="A81" s="4"/>
      <c r="B81" s="161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182"/>
      <c r="AD81" s="182"/>
      <c r="AE81" s="182"/>
      <c r="AF81" s="182"/>
      <c r="AG81" s="4"/>
    </row>
    <row r="82" spans="1:33" ht="14.1" customHeight="1" x14ac:dyDescent="0.25">
      <c r="A82" s="4"/>
      <c r="B82" s="161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182"/>
      <c r="AD82" s="182"/>
      <c r="AE82" s="182"/>
      <c r="AF82" s="182"/>
      <c r="AG82" s="4"/>
    </row>
    <row r="83" spans="1:33" ht="14.1" customHeight="1" x14ac:dyDescent="0.25">
      <c r="A83" s="4"/>
      <c r="B83" s="161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182"/>
      <c r="AD83" s="182"/>
      <c r="AE83" s="182"/>
      <c r="AF83" s="182"/>
      <c r="AG83" s="4"/>
    </row>
    <row r="84" spans="1:33" ht="14.1" customHeight="1" x14ac:dyDescent="0.25">
      <c r="A84" s="4"/>
      <c r="B84" s="161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182"/>
      <c r="AD84" s="182"/>
      <c r="AE84" s="182"/>
      <c r="AF84" s="182"/>
      <c r="AG84" s="4"/>
    </row>
    <row r="85" spans="1:33" ht="14.1" customHeight="1" x14ac:dyDescent="0.25">
      <c r="A85" s="4"/>
      <c r="B85" s="161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182"/>
      <c r="AD85" s="182"/>
      <c r="AE85" s="182"/>
      <c r="AF85" s="182"/>
      <c r="AG85" s="4"/>
    </row>
    <row r="86" spans="1:33" ht="14.1" customHeight="1" x14ac:dyDescent="0.25">
      <c r="A86" s="4"/>
      <c r="B86" s="161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182"/>
      <c r="AD86" s="182"/>
      <c r="AE86" s="182"/>
      <c r="AF86" s="182"/>
      <c r="AG86" s="4"/>
    </row>
  </sheetData>
  <sheetProtection password="CC3D" sheet="1" objects="1" scenarios="1"/>
  <mergeCells count="613">
    <mergeCell ref="AI11:BL11"/>
    <mergeCell ref="BO44:BP44"/>
    <mergeCell ref="X43:AG43"/>
    <mergeCell ref="V43:W43"/>
    <mergeCell ref="P43:R43"/>
    <mergeCell ref="AW43:AX43"/>
    <mergeCell ref="BA43:BB43"/>
    <mergeCell ref="AN15:AR15"/>
    <mergeCell ref="AS15:AW15"/>
    <mergeCell ref="AX15:BB15"/>
    <mergeCell ref="BC15:BG15"/>
    <mergeCell ref="BH15:BL15"/>
    <mergeCell ref="AN22:AR22"/>
    <mergeCell ref="AS22:AW22"/>
    <mergeCell ref="AX22:BB22"/>
    <mergeCell ref="BC22:BG22"/>
    <mergeCell ref="BH22:BL22"/>
    <mergeCell ref="AN29:AR29"/>
    <mergeCell ref="AS29:AW29"/>
    <mergeCell ref="AX29:BB29"/>
    <mergeCell ref="BC29:BG29"/>
    <mergeCell ref="BH29:BL29"/>
    <mergeCell ref="BH44:BI44"/>
    <mergeCell ref="BE43:BI43"/>
    <mergeCell ref="BH48:BI48"/>
    <mergeCell ref="BH49:BI49"/>
    <mergeCell ref="BH50:BI50"/>
    <mergeCell ref="BO45:BP45"/>
    <mergeCell ref="BO46:BP46"/>
    <mergeCell ref="BO47:BP47"/>
    <mergeCell ref="BO48:BP48"/>
    <mergeCell ref="BO49:BP49"/>
    <mergeCell ref="BO50:BP50"/>
    <mergeCell ref="BJ45:BK45"/>
    <mergeCell ref="BJ46:BK46"/>
    <mergeCell ref="BJ47:BK47"/>
    <mergeCell ref="BJ48:BK48"/>
    <mergeCell ref="BJ49:BK49"/>
    <mergeCell ref="BJ50:BK50"/>
    <mergeCell ref="AI50:AK50"/>
    <mergeCell ref="AI49:AK49"/>
    <mergeCell ref="AI48:AK48"/>
    <mergeCell ref="AI47:AK47"/>
    <mergeCell ref="AI46:AK46"/>
    <mergeCell ref="AI45:AK45"/>
    <mergeCell ref="AI43:AM43"/>
    <mergeCell ref="AU44:AV44"/>
    <mergeCell ref="AU45:AV45"/>
    <mergeCell ref="AU46:AV46"/>
    <mergeCell ref="AU47:AV47"/>
    <mergeCell ref="AU48:AV48"/>
    <mergeCell ref="AU49:AV49"/>
    <mergeCell ref="AU50:AV50"/>
    <mergeCell ref="AR43:AV43"/>
    <mergeCell ref="AN49:AO49"/>
    <mergeCell ref="AN50:AO50"/>
    <mergeCell ref="AL44:AM44"/>
    <mergeCell ref="AL45:AM45"/>
    <mergeCell ref="AL46:AM46"/>
    <mergeCell ref="AL47:AM47"/>
    <mergeCell ref="AL48:AM48"/>
    <mergeCell ref="AL49:AM49"/>
    <mergeCell ref="AL50:AM50"/>
    <mergeCell ref="B32:C32"/>
    <mergeCell ref="D32:E32"/>
    <mergeCell ref="F32:G32"/>
    <mergeCell ref="H32:I32"/>
    <mergeCell ref="J32:K32"/>
    <mergeCell ref="L32:N32"/>
    <mergeCell ref="O32:P32"/>
    <mergeCell ref="W32:Y32"/>
    <mergeCell ref="B33:C33"/>
    <mergeCell ref="D33:E33"/>
    <mergeCell ref="F33:G33"/>
    <mergeCell ref="H33:I33"/>
    <mergeCell ref="J33:K33"/>
    <mergeCell ref="L33:N33"/>
    <mergeCell ref="O33:P33"/>
    <mergeCell ref="Q33:S33"/>
    <mergeCell ref="T33:V33"/>
    <mergeCell ref="W25:Y25"/>
    <mergeCell ref="W26:Y26"/>
    <mergeCell ref="W27:Y27"/>
    <mergeCell ref="W28:Y28"/>
    <mergeCell ref="W29:Y29"/>
    <mergeCell ref="T21:V21"/>
    <mergeCell ref="AB32:AC32"/>
    <mergeCell ref="T32:V32"/>
    <mergeCell ref="Z32:AA32"/>
    <mergeCell ref="W24:Y24"/>
    <mergeCell ref="Z26:AA26"/>
    <mergeCell ref="T27:V27"/>
    <mergeCell ref="T26:V26"/>
    <mergeCell ref="AB31:AC31"/>
    <mergeCell ref="AB28:AC28"/>
    <mergeCell ref="AB29:AC29"/>
    <mergeCell ref="AB30:AC30"/>
    <mergeCell ref="D24:E24"/>
    <mergeCell ref="F24:G24"/>
    <mergeCell ref="D28:E28"/>
    <mergeCell ref="D27:E27"/>
    <mergeCell ref="D26:E26"/>
    <mergeCell ref="D25:E25"/>
    <mergeCell ref="O29:P29"/>
    <mergeCell ref="O28:P28"/>
    <mergeCell ref="O27:P27"/>
    <mergeCell ref="O26:P26"/>
    <mergeCell ref="O25:P25"/>
    <mergeCell ref="Q22:S22"/>
    <mergeCell ref="Q23:S23"/>
    <mergeCell ref="Q24:S24"/>
    <mergeCell ref="Q25:S25"/>
    <mergeCell ref="Q26:S26"/>
    <mergeCell ref="Q27:S27"/>
    <mergeCell ref="Q28:S28"/>
    <mergeCell ref="Q29:S29"/>
    <mergeCell ref="F21:G21"/>
    <mergeCell ref="O24:P24"/>
    <mergeCell ref="W14:Y14"/>
    <mergeCell ref="W15:Y15"/>
    <mergeCell ref="D19:E19"/>
    <mergeCell ref="J13:K13"/>
    <mergeCell ref="J18:K18"/>
    <mergeCell ref="Z22:AA22"/>
    <mergeCell ref="Z23:AA23"/>
    <mergeCell ref="Z24:AA24"/>
    <mergeCell ref="Z25:AA25"/>
    <mergeCell ref="T25:V25"/>
    <mergeCell ref="O23:P23"/>
    <mergeCell ref="T18:V18"/>
    <mergeCell ref="T19:V19"/>
    <mergeCell ref="T20:V20"/>
    <mergeCell ref="H19:I19"/>
    <mergeCell ref="H20:I20"/>
    <mergeCell ref="H21:I21"/>
    <mergeCell ref="F18:G18"/>
    <mergeCell ref="F19:G19"/>
    <mergeCell ref="F14:G14"/>
    <mergeCell ref="F15:G15"/>
    <mergeCell ref="D21:E21"/>
    <mergeCell ref="D22:E22"/>
    <mergeCell ref="F20:G20"/>
    <mergeCell ref="AI12:AM12"/>
    <mergeCell ref="AN24:AR24"/>
    <mergeCell ref="AY44:AZ44"/>
    <mergeCell ref="AI44:AK44"/>
    <mergeCell ref="AN30:AR30"/>
    <mergeCell ref="AS30:AW30"/>
    <mergeCell ref="BC30:BG30"/>
    <mergeCell ref="BC16:BG16"/>
    <mergeCell ref="AS21:AW21"/>
    <mergeCell ref="BC21:BG21"/>
    <mergeCell ref="AI26:AM26"/>
    <mergeCell ref="AI27:AM27"/>
    <mergeCell ref="AI28:AM28"/>
    <mergeCell ref="AI30:AM30"/>
    <mergeCell ref="AI31:AM31"/>
    <mergeCell ref="AN12:AR12"/>
    <mergeCell ref="AS12:AW12"/>
    <mergeCell ref="BC12:BG12"/>
    <mergeCell ref="AX12:BB12"/>
    <mergeCell ref="AX13:BB13"/>
    <mergeCell ref="AX14:BB14"/>
    <mergeCell ref="AX16:BB16"/>
    <mergeCell ref="AX17:BB17"/>
    <mergeCell ref="AX19:BB19"/>
    <mergeCell ref="A1:J6"/>
    <mergeCell ref="K1:W6"/>
    <mergeCell ref="X1:AG6"/>
    <mergeCell ref="AC48:AD48"/>
    <mergeCell ref="AF48:AG48"/>
    <mergeCell ref="AC49:AD49"/>
    <mergeCell ref="AF49:AG49"/>
    <mergeCell ref="AF45:AG45"/>
    <mergeCell ref="AC45:AD45"/>
    <mergeCell ref="O45:P45"/>
    <mergeCell ref="AC46:AD46"/>
    <mergeCell ref="AF46:AG46"/>
    <mergeCell ref="AC47:AD47"/>
    <mergeCell ref="AF47:AG47"/>
    <mergeCell ref="J37:L37"/>
    <mergeCell ref="J38:L38"/>
    <mergeCell ref="J40:L40"/>
    <mergeCell ref="J41:L41"/>
    <mergeCell ref="J42:L42"/>
    <mergeCell ref="A37:I37"/>
    <mergeCell ref="W12:Y13"/>
    <mergeCell ref="AD12:AE13"/>
    <mergeCell ref="AD14:AE14"/>
    <mergeCell ref="AD15:AE15"/>
    <mergeCell ref="AN47:AO47"/>
    <mergeCell ref="BH28:BL28"/>
    <mergeCell ref="AS20:AW20"/>
    <mergeCell ref="BC20:BG20"/>
    <mergeCell ref="BH20:BL20"/>
    <mergeCell ref="AN21:AR21"/>
    <mergeCell ref="AI36:BG36"/>
    <mergeCell ref="AI38:BG38"/>
    <mergeCell ref="AI39:BG39"/>
    <mergeCell ref="AI40:BG40"/>
    <mergeCell ref="BH36:BL36"/>
    <mergeCell ref="AI29:AM29"/>
    <mergeCell ref="AX21:BB21"/>
    <mergeCell ref="AX23:BB23"/>
    <mergeCell ref="AX24:BB24"/>
    <mergeCell ref="AX26:BB26"/>
    <mergeCell ref="AX27:BB27"/>
    <mergeCell ref="AX28:BB28"/>
    <mergeCell ref="AX30:BB30"/>
    <mergeCell ref="AX31:BB31"/>
    <mergeCell ref="AI22:AM22"/>
    <mergeCell ref="BH45:BI45"/>
    <mergeCell ref="BH46:BI46"/>
    <mergeCell ref="BH47:BI47"/>
    <mergeCell ref="AN45:AO45"/>
    <mergeCell ref="AN46:AO46"/>
    <mergeCell ref="AS17:AW17"/>
    <mergeCell ref="BC13:BG13"/>
    <mergeCell ref="BC14:BG14"/>
    <mergeCell ref="BJ43:BK43"/>
    <mergeCell ref="BJ44:BK44"/>
    <mergeCell ref="BA44:BB44"/>
    <mergeCell ref="AN43:AO43"/>
    <mergeCell ref="AN44:AO44"/>
    <mergeCell ref="AX20:BB20"/>
    <mergeCell ref="BH16:BL16"/>
    <mergeCell ref="BH17:BL17"/>
    <mergeCell ref="AN20:AR20"/>
    <mergeCell ref="BH30:BL30"/>
    <mergeCell ref="AN31:AR31"/>
    <mergeCell ref="AS31:AW31"/>
    <mergeCell ref="BC31:BG31"/>
    <mergeCell ref="BH31:BL31"/>
    <mergeCell ref="AS24:AW24"/>
    <mergeCell ref="BC24:BG24"/>
    <mergeCell ref="BH24:BL24"/>
    <mergeCell ref="AN27:AR27"/>
    <mergeCell ref="AS27:AW27"/>
    <mergeCell ref="BC27:BG27"/>
    <mergeCell ref="BH27:BL27"/>
    <mergeCell ref="AN28:AR28"/>
    <mergeCell ref="AS28:AW28"/>
    <mergeCell ref="BC28:BG28"/>
    <mergeCell ref="BH12:BL12"/>
    <mergeCell ref="AN19:AR19"/>
    <mergeCell ref="AS19:AW19"/>
    <mergeCell ref="BC19:BG19"/>
    <mergeCell ref="BH19:BL19"/>
    <mergeCell ref="AN26:AR26"/>
    <mergeCell ref="AS26:AW26"/>
    <mergeCell ref="BC26:BG26"/>
    <mergeCell ref="BH26:BL26"/>
    <mergeCell ref="AN13:AR13"/>
    <mergeCell ref="AN14:AR14"/>
    <mergeCell ref="AN16:AR16"/>
    <mergeCell ref="AN17:AR17"/>
    <mergeCell ref="AS13:AW13"/>
    <mergeCell ref="AS14:AW14"/>
    <mergeCell ref="AS16:AW16"/>
    <mergeCell ref="BH21:BL21"/>
    <mergeCell ref="AN23:AR23"/>
    <mergeCell ref="AS23:AW23"/>
    <mergeCell ref="BC23:BG23"/>
    <mergeCell ref="BH23:BL23"/>
    <mergeCell ref="BC17:BG17"/>
    <mergeCell ref="BH13:BL13"/>
    <mergeCell ref="BH14:BL14"/>
    <mergeCell ref="AI13:AM13"/>
    <mergeCell ref="AI14:AM14"/>
    <mergeCell ref="AI16:AM16"/>
    <mergeCell ref="AI17:AM17"/>
    <mergeCell ref="AI19:AM19"/>
    <mergeCell ref="AI20:AM20"/>
    <mergeCell ref="AI21:AM21"/>
    <mergeCell ref="AI23:AM23"/>
    <mergeCell ref="AI24:AM24"/>
    <mergeCell ref="AI15:AM15"/>
    <mergeCell ref="AF19:AG19"/>
    <mergeCell ref="AD16:AE16"/>
    <mergeCell ref="AD17:AE17"/>
    <mergeCell ref="AD18:AE18"/>
    <mergeCell ref="P41:R41"/>
    <mergeCell ref="V41:W41"/>
    <mergeCell ref="V42:W42"/>
    <mergeCell ref="Z28:AA28"/>
    <mergeCell ref="Z29:AA29"/>
    <mergeCell ref="Z30:AA30"/>
    <mergeCell ref="Z31:AA31"/>
    <mergeCell ref="AD19:AE19"/>
    <mergeCell ref="AD20:AE20"/>
    <mergeCell ref="AD21:AE21"/>
    <mergeCell ref="W16:Y16"/>
    <mergeCell ref="W17:Y17"/>
    <mergeCell ref="W18:Y18"/>
    <mergeCell ref="W19:Y19"/>
    <mergeCell ref="W20:Y20"/>
    <mergeCell ref="W23:Y23"/>
    <mergeCell ref="T16:V16"/>
    <mergeCell ref="O20:P20"/>
    <mergeCell ref="O21:P21"/>
    <mergeCell ref="O22:P22"/>
    <mergeCell ref="AF20:AG20"/>
    <mergeCell ref="AF21:AG21"/>
    <mergeCell ref="AB20:AC20"/>
    <mergeCell ref="AB21:AC21"/>
    <mergeCell ref="Z12:AA13"/>
    <mergeCell ref="Z14:AA14"/>
    <mergeCell ref="Z15:AA15"/>
    <mergeCell ref="Z16:AA16"/>
    <mergeCell ref="Z17:AA17"/>
    <mergeCell ref="Z18:AA18"/>
    <mergeCell ref="Z19:AA19"/>
    <mergeCell ref="Z20:AA20"/>
    <mergeCell ref="Z21:AA21"/>
    <mergeCell ref="AB12:AC13"/>
    <mergeCell ref="AB14:AC14"/>
    <mergeCell ref="AB15:AC15"/>
    <mergeCell ref="AB16:AC16"/>
    <mergeCell ref="AB17:AC17"/>
    <mergeCell ref="AB18:AC18"/>
    <mergeCell ref="AB19:AC19"/>
    <mergeCell ref="AF12:AG13"/>
    <mergeCell ref="AF14:AG14"/>
    <mergeCell ref="AF15:AG15"/>
    <mergeCell ref="AF16:AG16"/>
    <mergeCell ref="A7:F8"/>
    <mergeCell ref="G7:T8"/>
    <mergeCell ref="U7:Y7"/>
    <mergeCell ref="Z7:AG7"/>
    <mergeCell ref="U8:Y8"/>
    <mergeCell ref="Z8:AG8"/>
    <mergeCell ref="A9:F9"/>
    <mergeCell ref="G9:T9"/>
    <mergeCell ref="U9:Y9"/>
    <mergeCell ref="Z9:AG9"/>
    <mergeCell ref="U10:Y10"/>
    <mergeCell ref="H14:I14"/>
    <mergeCell ref="H15:I15"/>
    <mergeCell ref="H16:I16"/>
    <mergeCell ref="H17:I17"/>
    <mergeCell ref="H18:I18"/>
    <mergeCell ref="AF17:AG17"/>
    <mergeCell ref="AF18:AG18"/>
    <mergeCell ref="O31:P31"/>
    <mergeCell ref="O30:P30"/>
    <mergeCell ref="Z10:AG10"/>
    <mergeCell ref="T12:V13"/>
    <mergeCell ref="T14:V14"/>
    <mergeCell ref="T15:V15"/>
    <mergeCell ref="T17:V17"/>
    <mergeCell ref="W21:Y21"/>
    <mergeCell ref="W31:Y31"/>
    <mergeCell ref="H24:I24"/>
    <mergeCell ref="H26:I26"/>
    <mergeCell ref="J27:K27"/>
    <mergeCell ref="J28:K28"/>
    <mergeCell ref="J29:K29"/>
    <mergeCell ref="J25:K25"/>
    <mergeCell ref="J24:K24"/>
    <mergeCell ref="A12:A13"/>
    <mergeCell ref="O12:P13"/>
    <mergeCell ref="O14:P14"/>
    <mergeCell ref="O15:P15"/>
    <mergeCell ref="O16:P16"/>
    <mergeCell ref="O17:P17"/>
    <mergeCell ref="O18:P18"/>
    <mergeCell ref="O19:P19"/>
    <mergeCell ref="B12:C13"/>
    <mergeCell ref="F16:G16"/>
    <mergeCell ref="F17:G17"/>
    <mergeCell ref="H13:I13"/>
    <mergeCell ref="F13:G13"/>
    <mergeCell ref="L12:N13"/>
    <mergeCell ref="L14:N14"/>
    <mergeCell ref="J17:K17"/>
    <mergeCell ref="J16:K16"/>
    <mergeCell ref="J15:K15"/>
    <mergeCell ref="J14:K14"/>
    <mergeCell ref="B14:C14"/>
    <mergeCell ref="D12:K12"/>
    <mergeCell ref="D17:E17"/>
    <mergeCell ref="D18:E18"/>
    <mergeCell ref="A10:F10"/>
    <mergeCell ref="A11:AG11"/>
    <mergeCell ref="G10:T10"/>
    <mergeCell ref="D13:E13"/>
    <mergeCell ref="D14:E14"/>
    <mergeCell ref="D15:E15"/>
    <mergeCell ref="D16:E16"/>
    <mergeCell ref="B24:C24"/>
    <mergeCell ref="F31:G31"/>
    <mergeCell ref="H22:I22"/>
    <mergeCell ref="B31:C31"/>
    <mergeCell ref="F22:G22"/>
    <mergeCell ref="J30:K30"/>
    <mergeCell ref="J31:K31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D31:E31"/>
    <mergeCell ref="H29:I29"/>
    <mergeCell ref="H30:I30"/>
    <mergeCell ref="H31:I31"/>
    <mergeCell ref="D23:E23"/>
    <mergeCell ref="F27:G27"/>
    <mergeCell ref="F28:G28"/>
    <mergeCell ref="AD24:AE24"/>
    <mergeCell ref="AB22:AC22"/>
    <mergeCell ref="AB23:AC23"/>
    <mergeCell ref="AB24:AC24"/>
    <mergeCell ref="AB25:AC25"/>
    <mergeCell ref="AB26:AC26"/>
    <mergeCell ref="AB27:AC27"/>
    <mergeCell ref="Z27:AA27"/>
    <mergeCell ref="Q31:S31"/>
    <mergeCell ref="T24:V24"/>
    <mergeCell ref="T23:V23"/>
    <mergeCell ref="T22:V22"/>
    <mergeCell ref="T29:V29"/>
    <mergeCell ref="H28:I28"/>
    <mergeCell ref="H27:I27"/>
    <mergeCell ref="F26:G26"/>
    <mergeCell ref="F25:G25"/>
    <mergeCell ref="Q12:S13"/>
    <mergeCell ref="Q14:S14"/>
    <mergeCell ref="Q15:S15"/>
    <mergeCell ref="Q16:S16"/>
    <mergeCell ref="Q17:S17"/>
    <mergeCell ref="Q18:S18"/>
    <mergeCell ref="Q19:S19"/>
    <mergeCell ref="Q20:S20"/>
    <mergeCell ref="Q21:S21"/>
    <mergeCell ref="B23:C23"/>
    <mergeCell ref="B22:C22"/>
    <mergeCell ref="B18:C18"/>
    <mergeCell ref="L15:N15"/>
    <mergeCell ref="L16:N16"/>
    <mergeCell ref="L17:N17"/>
    <mergeCell ref="L18:N18"/>
    <mergeCell ref="L19:N19"/>
    <mergeCell ref="L20:N20"/>
    <mergeCell ref="L21:N21"/>
    <mergeCell ref="J21:K21"/>
    <mergeCell ref="J20:K20"/>
    <mergeCell ref="B19:C19"/>
    <mergeCell ref="B20:C20"/>
    <mergeCell ref="B21:C21"/>
    <mergeCell ref="B15:C15"/>
    <mergeCell ref="B16:C16"/>
    <mergeCell ref="B17:C17"/>
    <mergeCell ref="D20:E20"/>
    <mergeCell ref="F23:G23"/>
    <mergeCell ref="H23:I23"/>
    <mergeCell ref="J23:K23"/>
    <mergeCell ref="J22:K22"/>
    <mergeCell ref="J19:K19"/>
    <mergeCell ref="AF44:AG44"/>
    <mergeCell ref="O47:P47"/>
    <mergeCell ref="AC44:AD44"/>
    <mergeCell ref="S35:U35"/>
    <mergeCell ref="S36:U36"/>
    <mergeCell ref="S37:U37"/>
    <mergeCell ref="S38:U38"/>
    <mergeCell ref="S39:U39"/>
    <mergeCell ref="S40:U40"/>
    <mergeCell ref="S41:U41"/>
    <mergeCell ref="S42:U42"/>
    <mergeCell ref="S43:U43"/>
    <mergeCell ref="P39:R39"/>
    <mergeCell ref="V37:W37"/>
    <mergeCell ref="X37:AG37"/>
    <mergeCell ref="V34:AD35"/>
    <mergeCell ref="M39:O39"/>
    <mergeCell ref="P42:R42"/>
    <mergeCell ref="X36:AG36"/>
    <mergeCell ref="X42:AG42"/>
    <mergeCell ref="V40:W40"/>
    <mergeCell ref="X39:AG39"/>
    <mergeCell ref="X40:AG40"/>
    <mergeCell ref="X41:AG41"/>
    <mergeCell ref="A38:I38"/>
    <mergeCell ref="P37:R37"/>
    <mergeCell ref="P38:R38"/>
    <mergeCell ref="M35:O35"/>
    <mergeCell ref="M36:O36"/>
    <mergeCell ref="V38:W38"/>
    <mergeCell ref="V39:W39"/>
    <mergeCell ref="A44:B49"/>
    <mergeCell ref="M42:O42"/>
    <mergeCell ref="A43:I43"/>
    <mergeCell ref="J43:L43"/>
    <mergeCell ref="M43:O43"/>
    <mergeCell ref="P36:R36"/>
    <mergeCell ref="P35:R35"/>
    <mergeCell ref="A39:I39"/>
    <mergeCell ref="J39:L39"/>
    <mergeCell ref="A35:I35"/>
    <mergeCell ref="A36:I36"/>
    <mergeCell ref="A40:I40"/>
    <mergeCell ref="A41:I41"/>
    <mergeCell ref="A42:I42"/>
    <mergeCell ref="M40:O40"/>
    <mergeCell ref="M41:O41"/>
    <mergeCell ref="P40:R40"/>
    <mergeCell ref="C44:L44"/>
    <mergeCell ref="C46:L46"/>
    <mergeCell ref="C47:L47"/>
    <mergeCell ref="C48:L48"/>
    <mergeCell ref="C49:L49"/>
    <mergeCell ref="Q45:AB45"/>
    <mergeCell ref="Q46:AB46"/>
    <mergeCell ref="Q47:AB47"/>
    <mergeCell ref="Q48:AB48"/>
    <mergeCell ref="Q49:AB49"/>
    <mergeCell ref="Q44:AB44"/>
    <mergeCell ref="O44:P44"/>
    <mergeCell ref="O46:P46"/>
    <mergeCell ref="C45:L45"/>
    <mergeCell ref="M45:N45"/>
    <mergeCell ref="O48:P48"/>
    <mergeCell ref="O49:P49"/>
    <mergeCell ref="M44:N44"/>
    <mergeCell ref="M46:N46"/>
    <mergeCell ref="M47:N47"/>
    <mergeCell ref="M48:N48"/>
    <mergeCell ref="M49:N49"/>
    <mergeCell ref="AD25:AE25"/>
    <mergeCell ref="J35:L35"/>
    <mergeCell ref="J36:L36"/>
    <mergeCell ref="V36:W36"/>
    <mergeCell ref="AF22:AG22"/>
    <mergeCell ref="AF23:AG23"/>
    <mergeCell ref="AF24:AG24"/>
    <mergeCell ref="AF25:AG25"/>
    <mergeCell ref="AF26:AG26"/>
    <mergeCell ref="AF27:AG27"/>
    <mergeCell ref="AF28:AG28"/>
    <mergeCell ref="AF29:AG29"/>
    <mergeCell ref="AF30:AG30"/>
    <mergeCell ref="AD22:AE22"/>
    <mergeCell ref="AD23:AE23"/>
    <mergeCell ref="T30:V30"/>
    <mergeCell ref="T31:V31"/>
    <mergeCell ref="W22:Y22"/>
    <mergeCell ref="J34:L34"/>
    <mergeCell ref="M34:O34"/>
    <mergeCell ref="Q32:S32"/>
    <mergeCell ref="Q30:S30"/>
    <mergeCell ref="J26:K26"/>
    <mergeCell ref="T28:V28"/>
    <mergeCell ref="AD28:AE28"/>
    <mergeCell ref="AD27:AE27"/>
    <mergeCell ref="AD26:AE26"/>
    <mergeCell ref="AD31:AE31"/>
    <mergeCell ref="AD30:AE30"/>
    <mergeCell ref="AD29:AE29"/>
    <mergeCell ref="AF31:AG31"/>
    <mergeCell ref="M37:O37"/>
    <mergeCell ref="M38:O38"/>
    <mergeCell ref="W30:Y30"/>
    <mergeCell ref="AD32:AE32"/>
    <mergeCell ref="AF32:AG32"/>
    <mergeCell ref="AE34:AG35"/>
    <mergeCell ref="S34:U34"/>
    <mergeCell ref="P34:R34"/>
    <mergeCell ref="X38:AG38"/>
    <mergeCell ref="W33:Y33"/>
    <mergeCell ref="Z33:AA33"/>
    <mergeCell ref="AB33:AC33"/>
    <mergeCell ref="AD33:AE33"/>
    <mergeCell ref="AF33:AG33"/>
    <mergeCell ref="B25:C25"/>
    <mergeCell ref="B26:C26"/>
    <mergeCell ref="H25:I25"/>
    <mergeCell ref="D30:E30"/>
    <mergeCell ref="D29:E29"/>
    <mergeCell ref="B28:C28"/>
    <mergeCell ref="B29:C29"/>
    <mergeCell ref="B30:C30"/>
    <mergeCell ref="B27:C27"/>
    <mergeCell ref="F30:G30"/>
    <mergeCell ref="F29:G29"/>
    <mergeCell ref="BH38:BL38"/>
    <mergeCell ref="BH39:BL39"/>
    <mergeCell ref="BH40:BL40"/>
    <mergeCell ref="AI37:BL37"/>
    <mergeCell ref="BA48:BB48"/>
    <mergeCell ref="BA49:BB49"/>
    <mergeCell ref="BA50:BB50"/>
    <mergeCell ref="AY49:AZ49"/>
    <mergeCell ref="AY50:AZ50"/>
    <mergeCell ref="AW44:AX44"/>
    <mergeCell ref="AW45:AX45"/>
    <mergeCell ref="AW46:AX46"/>
    <mergeCell ref="AW47:AX47"/>
    <mergeCell ref="AW48:AX48"/>
    <mergeCell ref="AW49:AX49"/>
    <mergeCell ref="AW50:AX50"/>
    <mergeCell ref="AN48:AO48"/>
    <mergeCell ref="AY45:AZ45"/>
    <mergeCell ref="AY46:AZ46"/>
    <mergeCell ref="AY47:AZ47"/>
    <mergeCell ref="AY48:AZ48"/>
    <mergeCell ref="BA45:BB45"/>
    <mergeCell ref="BA46:BB46"/>
    <mergeCell ref="BA47:BB47"/>
  </mergeCells>
  <conditionalFormatting sqref="W14:W33">
    <cfRule type="containsBlanks" dxfId="9" priority="21">
      <formula>LEN(TRIM(W14))=0</formula>
    </cfRule>
  </conditionalFormatting>
  <conditionalFormatting sqref="AI1:BL9 AJ10:BL10 AI11 AI12:BL58">
    <cfRule type="containsErrors" dxfId="8" priority="28">
      <formula>ISERROR(AI1)</formula>
    </cfRule>
  </conditionalFormatting>
  <pageMargins left="0.70866141732283472" right="0.35433070866141736" top="0.35433070866141736" bottom="0.35433070866141736" header="0" footer="0"/>
  <pageSetup paperSize="9" orientation="portrait" r:id="rId1"/>
  <headerFooter scaleWithDoc="0" alignWithMargins="0"/>
  <ignoredErrors>
    <ignoredError sqref="AY44:AZ46 AZ48 AZ47 AZ49 AZ50 AY48 AY50 AY49 AY47" formula="1"/>
    <ignoredError sqref="AY14:BB14 AX19:BB19 AX15:BB15 AO15:AR15 BD15:BG15 AX26:BB26 AO22:AR22 BD22:BG22 AO29:AR29 BD29:BG29 AY17:BB17 AT29:AW29 BI29:BL29 AT22:AW22 BI22:BL22 AY23:BB23 AY20:BB20 AY21:BB21 AY24:BB24 AY22:BB22 AX22 AY31:BB31 AY30:BB30 AX29:BB29 AY28:BB28 AY27:BB27 AT15:AW15 AY13:BB13 AY16:BB16 BI15:BL15" evalError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notBetween" id="{EABCC062-3442-4089-BF60-143EEDAC288C}">
            <xm:f>Dizayn!$G$64-0.01</xm:f>
            <xm:f>Dizayn!$G$64+0.01</xm:f>
            <x14:dxf>
              <font>
                <b/>
                <i val="0"/>
                <color theme="0"/>
              </font>
              <fill>
                <patternFill>
                  <bgColor theme="1"/>
                </patternFill>
              </fill>
            </x14:dxf>
          </x14:cfRule>
          <xm:sqref>W14:W33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8"/>
  <sheetViews>
    <sheetView showGridLines="0" zoomScaleNormal="100" zoomScaleSheetLayoutView="100" workbookViewId="0">
      <selection activeCell="AH25" sqref="AH25"/>
    </sheetView>
  </sheetViews>
  <sheetFormatPr defaultColWidth="2.7109375" defaultRowHeight="14.1" customHeight="1" x14ac:dyDescent="0.2"/>
  <cols>
    <col min="1" max="1" width="2.7109375" style="10"/>
    <col min="2" max="2" width="2.7109375" style="10" customWidth="1"/>
    <col min="3" max="3" width="2.7109375" style="10"/>
    <col min="4" max="4" width="2.7109375" style="10" customWidth="1"/>
    <col min="5" max="8" width="2.7109375" style="10"/>
    <col min="9" max="9" width="2.7109375" style="10" customWidth="1"/>
    <col min="10" max="15" width="2.7109375" style="10"/>
    <col min="16" max="16" width="2.7109375" style="10" customWidth="1"/>
    <col min="17" max="18" width="2.7109375" style="10"/>
    <col min="19" max="19" width="2.7109375" style="10" customWidth="1"/>
    <col min="20" max="20" width="2.7109375" style="10"/>
    <col min="21" max="21" width="2.7109375" style="10" customWidth="1"/>
    <col min="22" max="23" width="2.7109375" style="10"/>
    <col min="24" max="24" width="2.7109375" style="10" customWidth="1"/>
    <col min="25" max="26" width="2.7109375" style="10"/>
    <col min="27" max="28" width="2.7109375" style="10" customWidth="1"/>
    <col min="29" max="29" width="2.7109375" style="10"/>
    <col min="30" max="31" width="2.7109375" style="10" customWidth="1"/>
    <col min="32" max="34" width="2.7109375" style="10"/>
    <col min="35" max="35" width="2.7109375" style="10" customWidth="1"/>
    <col min="36" max="36" width="2.7109375" style="10"/>
    <col min="37" max="37" width="2.7109375" style="10" customWidth="1"/>
    <col min="38" max="38" width="2.7109375" style="10"/>
    <col min="39" max="39" width="2.7109375" style="10" customWidth="1"/>
    <col min="40" max="40" width="2.7109375" style="10"/>
    <col min="41" max="41" width="2.7109375" style="10" customWidth="1"/>
    <col min="42" max="16384" width="2.7109375" style="10"/>
  </cols>
  <sheetData>
    <row r="1" spans="1:33" ht="14.1" customHeight="1" x14ac:dyDescent="0.2">
      <c r="A1" s="809"/>
      <c r="B1" s="555"/>
      <c r="C1" s="555"/>
      <c r="D1" s="555"/>
      <c r="E1" s="555"/>
      <c r="F1" s="555"/>
      <c r="G1" s="555"/>
      <c r="H1" s="555"/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555"/>
      <c r="V1" s="555"/>
      <c r="W1" s="555"/>
      <c r="X1" s="555"/>
      <c r="Y1" s="555"/>
      <c r="Z1" s="555"/>
      <c r="AA1" s="555"/>
      <c r="AB1" s="555"/>
      <c r="AC1" s="555"/>
      <c r="AD1" s="555"/>
      <c r="AE1" s="555"/>
      <c r="AF1" s="555"/>
      <c r="AG1" s="812"/>
    </row>
    <row r="2" spans="1:33" ht="14.1" customHeight="1" x14ac:dyDescent="0.2">
      <c r="A2" s="810"/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556"/>
      <c r="P2" s="556"/>
      <c r="Q2" s="556"/>
      <c r="R2" s="556"/>
      <c r="S2" s="556"/>
      <c r="T2" s="556"/>
      <c r="U2" s="556"/>
      <c r="V2" s="556"/>
      <c r="W2" s="556"/>
      <c r="X2" s="556"/>
      <c r="Y2" s="556"/>
      <c r="Z2" s="556"/>
      <c r="AA2" s="556"/>
      <c r="AB2" s="556"/>
      <c r="AC2" s="556"/>
      <c r="AD2" s="556"/>
      <c r="AE2" s="556"/>
      <c r="AF2" s="556"/>
      <c r="AG2" s="813"/>
    </row>
    <row r="3" spans="1:33" ht="14.1" customHeight="1" x14ac:dyDescent="0.2">
      <c r="A3" s="810"/>
      <c r="B3" s="556"/>
      <c r="C3" s="556"/>
      <c r="D3" s="556"/>
      <c r="E3" s="556"/>
      <c r="F3" s="556"/>
      <c r="G3" s="556"/>
      <c r="H3" s="556"/>
      <c r="I3" s="556"/>
      <c r="J3" s="556"/>
      <c r="K3" s="556"/>
      <c r="L3" s="556"/>
      <c r="M3" s="556"/>
      <c r="N3" s="556"/>
      <c r="O3" s="556"/>
      <c r="P3" s="556"/>
      <c r="Q3" s="556"/>
      <c r="R3" s="556"/>
      <c r="S3" s="556"/>
      <c r="T3" s="556"/>
      <c r="U3" s="556"/>
      <c r="V3" s="556"/>
      <c r="W3" s="556"/>
      <c r="X3" s="556"/>
      <c r="Y3" s="556"/>
      <c r="Z3" s="556"/>
      <c r="AA3" s="556"/>
      <c r="AB3" s="556"/>
      <c r="AC3" s="556"/>
      <c r="AD3" s="556"/>
      <c r="AE3" s="556"/>
      <c r="AF3" s="556"/>
      <c r="AG3" s="813"/>
    </row>
    <row r="4" spans="1:33" ht="14.1" customHeight="1" x14ac:dyDescent="0.2">
      <c r="A4" s="810"/>
      <c r="B4" s="556"/>
      <c r="C4" s="556"/>
      <c r="D4" s="556"/>
      <c r="E4" s="556"/>
      <c r="F4" s="556"/>
      <c r="G4" s="556"/>
      <c r="H4" s="556"/>
      <c r="I4" s="556"/>
      <c r="J4" s="556"/>
      <c r="K4" s="556"/>
      <c r="L4" s="556"/>
      <c r="M4" s="556"/>
      <c r="N4" s="556"/>
      <c r="O4" s="556"/>
      <c r="P4" s="556"/>
      <c r="Q4" s="556"/>
      <c r="R4" s="556"/>
      <c r="S4" s="556"/>
      <c r="T4" s="556"/>
      <c r="U4" s="556"/>
      <c r="V4" s="556"/>
      <c r="W4" s="556"/>
      <c r="X4" s="556"/>
      <c r="Y4" s="556"/>
      <c r="Z4" s="556"/>
      <c r="AA4" s="556"/>
      <c r="AB4" s="556"/>
      <c r="AC4" s="556"/>
      <c r="AD4" s="556"/>
      <c r="AE4" s="556"/>
      <c r="AF4" s="556"/>
      <c r="AG4" s="813"/>
    </row>
    <row r="5" spans="1:33" ht="14.1" customHeight="1" x14ac:dyDescent="0.2">
      <c r="A5" s="810"/>
      <c r="B5" s="556"/>
      <c r="C5" s="556"/>
      <c r="D5" s="556"/>
      <c r="E5" s="556"/>
      <c r="F5" s="556"/>
      <c r="G5" s="556"/>
      <c r="H5" s="556"/>
      <c r="I5" s="556"/>
      <c r="J5" s="556"/>
      <c r="K5" s="556"/>
      <c r="L5" s="556"/>
      <c r="M5" s="556"/>
      <c r="N5" s="556"/>
      <c r="O5" s="556"/>
      <c r="P5" s="556"/>
      <c r="Q5" s="556"/>
      <c r="R5" s="556"/>
      <c r="S5" s="556"/>
      <c r="T5" s="556"/>
      <c r="U5" s="556"/>
      <c r="V5" s="556"/>
      <c r="W5" s="556"/>
      <c r="X5" s="556"/>
      <c r="Y5" s="556"/>
      <c r="Z5" s="556"/>
      <c r="AA5" s="556"/>
      <c r="AB5" s="556"/>
      <c r="AC5" s="556"/>
      <c r="AD5" s="556"/>
      <c r="AE5" s="556"/>
      <c r="AF5" s="556"/>
      <c r="AG5" s="813"/>
    </row>
    <row r="6" spans="1:33" ht="14.1" customHeight="1" x14ac:dyDescent="0.2">
      <c r="A6" s="811"/>
      <c r="B6" s="557"/>
      <c r="C6" s="557"/>
      <c r="D6" s="557"/>
      <c r="E6" s="557"/>
      <c r="F6" s="557"/>
      <c r="G6" s="557"/>
      <c r="H6" s="557"/>
      <c r="I6" s="557"/>
      <c r="J6" s="557"/>
      <c r="K6" s="557"/>
      <c r="L6" s="557"/>
      <c r="M6" s="557"/>
      <c r="N6" s="557"/>
      <c r="O6" s="557"/>
      <c r="P6" s="557"/>
      <c r="Q6" s="557"/>
      <c r="R6" s="557"/>
      <c r="S6" s="557"/>
      <c r="T6" s="557"/>
      <c r="U6" s="557"/>
      <c r="V6" s="557"/>
      <c r="W6" s="557"/>
      <c r="X6" s="557"/>
      <c r="Y6" s="557"/>
      <c r="Z6" s="557"/>
      <c r="AA6" s="557"/>
      <c r="AB6" s="557"/>
      <c r="AC6" s="557"/>
      <c r="AD6" s="557"/>
      <c r="AE6" s="557"/>
      <c r="AF6" s="557"/>
      <c r="AG6" s="814"/>
    </row>
    <row r="7" spans="1:33" ht="14.1" customHeight="1" x14ac:dyDescent="0.2">
      <c r="A7" s="541" t="s">
        <v>267</v>
      </c>
      <c r="B7" s="542"/>
      <c r="C7" s="542"/>
      <c r="D7" s="542"/>
      <c r="E7" s="542"/>
      <c r="F7" s="542"/>
      <c r="G7" s="545" t="str">
        <f>PROPER(Dizayn!$C$4)</f>
        <v>Keşan Ayrımı - Korudağı - Gelibolu Bölünmüş Yolu İşi</v>
      </c>
      <c r="H7" s="546"/>
      <c r="I7" s="546"/>
      <c r="J7" s="546"/>
      <c r="K7" s="546"/>
      <c r="L7" s="546"/>
      <c r="M7" s="546"/>
      <c r="N7" s="546"/>
      <c r="O7" s="546"/>
      <c r="P7" s="546"/>
      <c r="Q7" s="546"/>
      <c r="R7" s="546"/>
      <c r="S7" s="546"/>
      <c r="T7" s="547"/>
      <c r="U7" s="542" t="s">
        <v>97</v>
      </c>
      <c r="V7" s="542"/>
      <c r="W7" s="542"/>
      <c r="X7" s="542"/>
      <c r="Y7" s="542"/>
      <c r="Z7" s="532">
        <f>'5 BSK'!$S$8</f>
        <v>41750</v>
      </c>
      <c r="AA7" s="533"/>
      <c r="AB7" s="533"/>
      <c r="AC7" s="533"/>
      <c r="AD7" s="533"/>
      <c r="AE7" s="533"/>
      <c r="AF7" s="533"/>
      <c r="AG7" s="532"/>
    </row>
    <row r="8" spans="1:33" ht="14.1" customHeight="1" x14ac:dyDescent="0.2">
      <c r="A8" s="543"/>
      <c r="B8" s="544"/>
      <c r="C8" s="544"/>
      <c r="D8" s="544"/>
      <c r="E8" s="544"/>
      <c r="F8" s="544"/>
      <c r="G8" s="548"/>
      <c r="H8" s="549"/>
      <c r="I8" s="549"/>
      <c r="J8" s="549"/>
      <c r="K8" s="549"/>
      <c r="L8" s="549"/>
      <c r="M8" s="549"/>
      <c r="N8" s="549"/>
      <c r="O8" s="549"/>
      <c r="P8" s="549"/>
      <c r="Q8" s="549"/>
      <c r="R8" s="549"/>
      <c r="S8" s="549"/>
      <c r="T8" s="550"/>
      <c r="U8" s="544" t="s">
        <v>272</v>
      </c>
      <c r="V8" s="544"/>
      <c r="W8" s="544"/>
      <c r="X8" s="544"/>
      <c r="Y8" s="544"/>
      <c r="Z8" s="529" t="str">
        <f>'5 BSK'!$S$7&amp;" - "&amp;TEXT('5 BSK'!S9,"GG.AA.YYYY")</f>
        <v>5 - 22.04.2014</v>
      </c>
      <c r="AA8" s="530"/>
      <c r="AB8" s="530"/>
      <c r="AC8" s="530"/>
      <c r="AD8" s="530"/>
      <c r="AE8" s="530"/>
      <c r="AF8" s="530"/>
      <c r="AG8" s="529"/>
    </row>
    <row r="9" spans="1:33" ht="14.1" customHeight="1" x14ac:dyDescent="0.2">
      <c r="A9" s="551" t="s">
        <v>274</v>
      </c>
      <c r="B9" s="552"/>
      <c r="C9" s="552"/>
      <c r="D9" s="552"/>
      <c r="E9" s="552"/>
      <c r="F9" s="552"/>
      <c r="G9" s="530" t="str">
        <f>PROPER('5 BSK'!$S$10&amp;" "&amp;'5 BSK'!$S$11)</f>
        <v>3+300 - 4+000 Sol Taşıma</v>
      </c>
      <c r="H9" s="530"/>
      <c r="I9" s="530"/>
      <c r="J9" s="530"/>
      <c r="K9" s="530"/>
      <c r="L9" s="530"/>
      <c r="M9" s="530"/>
      <c r="N9" s="530"/>
      <c r="O9" s="530"/>
      <c r="P9" s="530"/>
      <c r="Q9" s="530"/>
      <c r="R9" s="530"/>
      <c r="S9" s="530"/>
      <c r="T9" s="530"/>
      <c r="U9" s="544" t="s">
        <v>64</v>
      </c>
      <c r="V9" s="544"/>
      <c r="W9" s="544"/>
      <c r="X9" s="544"/>
      <c r="Y9" s="544"/>
      <c r="Z9" s="529" t="str">
        <f>PROPER(Dizayn!$C$3)</f>
        <v>Keşan Şantiyesi</v>
      </c>
      <c r="AA9" s="530"/>
      <c r="AB9" s="530"/>
      <c r="AC9" s="530"/>
      <c r="AD9" s="530"/>
      <c r="AE9" s="530"/>
      <c r="AF9" s="530"/>
      <c r="AG9" s="529"/>
    </row>
    <row r="10" spans="1:33" ht="14.1" customHeight="1" x14ac:dyDescent="0.2">
      <c r="A10" s="553" t="s">
        <v>273</v>
      </c>
      <c r="B10" s="554"/>
      <c r="C10" s="554"/>
      <c r="D10" s="554"/>
      <c r="E10" s="554"/>
      <c r="F10" s="554"/>
      <c r="G10" s="564" t="str">
        <f>PROPER(Dizayn!$C$6)</f>
        <v>Binder</v>
      </c>
      <c r="H10" s="564"/>
      <c r="I10" s="564"/>
      <c r="J10" s="564"/>
      <c r="K10" s="564"/>
      <c r="L10" s="564"/>
      <c r="M10" s="564"/>
      <c r="N10" s="564"/>
      <c r="O10" s="564"/>
      <c r="P10" s="564"/>
      <c r="Q10" s="564"/>
      <c r="R10" s="564"/>
      <c r="S10" s="564"/>
      <c r="T10" s="564"/>
      <c r="U10" s="554" t="s">
        <v>265</v>
      </c>
      <c r="V10" s="554"/>
      <c r="W10" s="554"/>
      <c r="X10" s="554"/>
      <c r="Y10" s="554"/>
      <c r="Z10" s="537" t="str">
        <f>PROPER(Dizayn!$C$5)</f>
        <v>Çeltik T.O.</v>
      </c>
      <c r="AA10" s="538"/>
      <c r="AB10" s="538"/>
      <c r="AC10" s="538"/>
      <c r="AD10" s="538"/>
      <c r="AE10" s="538"/>
      <c r="AF10" s="538"/>
      <c r="AG10" s="537"/>
    </row>
    <row r="11" spans="1:33" ht="14.1" customHeight="1" x14ac:dyDescent="0.2">
      <c r="A11" s="801" t="s">
        <v>86</v>
      </c>
      <c r="B11" s="802"/>
      <c r="C11" s="802"/>
      <c r="D11" s="802"/>
      <c r="E11" s="802"/>
      <c r="F11" s="802"/>
      <c r="G11" s="802"/>
      <c r="H11" s="802"/>
      <c r="I11" s="802"/>
      <c r="J11" s="802"/>
      <c r="K11" s="802"/>
      <c r="L11" s="802"/>
      <c r="M11" s="802"/>
      <c r="N11" s="802"/>
      <c r="O11" s="802"/>
      <c r="P11" s="802"/>
      <c r="Q11" s="802"/>
      <c r="R11" s="802"/>
      <c r="S11" s="802"/>
      <c r="T11" s="802"/>
      <c r="U11" s="802"/>
      <c r="V11" s="802"/>
      <c r="W11" s="802"/>
      <c r="X11" s="802"/>
      <c r="Y11" s="802"/>
      <c r="Z11" s="803"/>
      <c r="AA11" s="802"/>
      <c r="AB11" s="802"/>
      <c r="AC11" s="802"/>
      <c r="AD11" s="802"/>
      <c r="AE11" s="802"/>
      <c r="AF11" s="802"/>
      <c r="AG11" s="803"/>
    </row>
    <row r="12" spans="1:33" ht="14.1" customHeight="1" x14ac:dyDescent="0.2">
      <c r="A12" s="826" t="s">
        <v>413</v>
      </c>
      <c r="B12" s="827"/>
      <c r="C12" s="827"/>
      <c r="D12" s="827"/>
      <c r="E12" s="827"/>
      <c r="F12" s="827"/>
      <c r="G12" s="827"/>
      <c r="H12" s="795">
        <v>41750</v>
      </c>
      <c r="I12" s="795"/>
      <c r="J12" s="795"/>
      <c r="K12" s="795"/>
      <c r="L12" s="795"/>
      <c r="M12" s="795"/>
      <c r="N12" s="795"/>
      <c r="O12" s="795"/>
      <c r="P12" s="796"/>
      <c r="Q12" s="793" t="s">
        <v>428</v>
      </c>
      <c r="R12" s="794"/>
      <c r="S12" s="794"/>
      <c r="T12" s="794"/>
      <c r="U12" s="794"/>
      <c r="V12" s="804">
        <f>Dizayn!$G$64</f>
        <v>2.371</v>
      </c>
      <c r="W12" s="804"/>
      <c r="X12" s="805"/>
      <c r="Y12" s="793" t="s">
        <v>190</v>
      </c>
      <c r="Z12" s="794"/>
      <c r="AA12" s="794"/>
      <c r="AB12" s="794"/>
      <c r="AC12" s="794"/>
      <c r="AD12" s="794"/>
      <c r="AE12" s="804">
        <f ca="1">IFERROR((100+'3 Ekstrasyon'!$AE$20)/((100/Dizayn!$F$54)+('3 Ekstrasyon'!$AE$20/Dizayn!$F$46)),"")</f>
        <v>2.4785817200658125</v>
      </c>
      <c r="AF12" s="804"/>
      <c r="AG12" s="805"/>
    </row>
    <row r="13" spans="1:33" ht="14.1" customHeight="1" x14ac:dyDescent="0.2">
      <c r="A13" s="736" t="s">
        <v>161</v>
      </c>
      <c r="B13" s="736" t="s">
        <v>131</v>
      </c>
      <c r="C13" s="736"/>
      <c r="D13" s="736" t="s">
        <v>183</v>
      </c>
      <c r="E13" s="736"/>
      <c r="F13" s="736"/>
      <c r="G13" s="736"/>
      <c r="H13" s="736"/>
      <c r="I13" s="736" t="str">
        <f>"Karot Kalınlığı ("&amp;Dizayn!$J$49&amp;" - "&amp;Dizayn!$L$49&amp;") (mm)"</f>
        <v>Karot Kalınlığı (63 - 77) (mm)</v>
      </c>
      <c r="J13" s="736"/>
      <c r="K13" s="736"/>
      <c r="L13" s="736"/>
      <c r="M13" s="736"/>
      <c r="N13" s="736"/>
      <c r="O13" s="736"/>
      <c r="P13" s="736"/>
      <c r="Q13" s="736" t="s">
        <v>168</v>
      </c>
      <c r="R13" s="736"/>
      <c r="S13" s="736"/>
      <c r="T13" s="736" t="s">
        <v>87</v>
      </c>
      <c r="U13" s="736"/>
      <c r="V13" s="736" t="s">
        <v>88</v>
      </c>
      <c r="W13" s="736"/>
      <c r="X13" s="736"/>
      <c r="Y13" s="736" t="s">
        <v>167</v>
      </c>
      <c r="Z13" s="736"/>
      <c r="AA13" s="736"/>
      <c r="AB13" s="736" t="str">
        <f ca="1">"Sıkışma %"&amp;CHAR(10)&amp;"(min. "&amp;INDIRECT("Dizayn!"&amp;Dizayn!L25&amp;44)&amp;")"</f>
        <v>Sıkışma %
(min. 96)</v>
      </c>
      <c r="AC13" s="736"/>
      <c r="AD13" s="736"/>
      <c r="AE13" s="736" t="s">
        <v>90</v>
      </c>
      <c r="AF13" s="736"/>
      <c r="AG13" s="736"/>
    </row>
    <row r="14" spans="1:33" s="15" customFormat="1" ht="14.1" customHeight="1" x14ac:dyDescent="0.2">
      <c r="A14" s="736"/>
      <c r="B14" s="736"/>
      <c r="C14" s="736"/>
      <c r="D14" s="736"/>
      <c r="E14" s="736"/>
      <c r="F14" s="736"/>
      <c r="G14" s="736"/>
      <c r="H14" s="736"/>
      <c r="I14" s="736"/>
      <c r="J14" s="736"/>
      <c r="K14" s="736"/>
      <c r="L14" s="736"/>
      <c r="M14" s="736"/>
      <c r="N14" s="736"/>
      <c r="O14" s="736"/>
      <c r="P14" s="736"/>
      <c r="Q14" s="736"/>
      <c r="R14" s="736"/>
      <c r="S14" s="736"/>
      <c r="T14" s="736"/>
      <c r="U14" s="736"/>
      <c r="V14" s="736"/>
      <c r="W14" s="736"/>
      <c r="X14" s="736"/>
      <c r="Y14" s="736"/>
      <c r="Z14" s="736"/>
      <c r="AA14" s="736"/>
      <c r="AB14" s="736"/>
      <c r="AC14" s="736"/>
      <c r="AD14" s="736"/>
      <c r="AE14" s="736"/>
      <c r="AF14" s="736"/>
      <c r="AG14" s="736"/>
    </row>
    <row r="15" spans="1:33" s="16" customFormat="1" ht="14.1" customHeight="1" x14ac:dyDescent="0.25">
      <c r="A15" s="736"/>
      <c r="B15" s="736"/>
      <c r="C15" s="736"/>
      <c r="D15" s="736"/>
      <c r="E15" s="736"/>
      <c r="F15" s="736"/>
      <c r="G15" s="736"/>
      <c r="H15" s="736"/>
      <c r="I15" s="736">
        <v>1</v>
      </c>
      <c r="J15" s="736"/>
      <c r="K15" s="736">
        <v>2</v>
      </c>
      <c r="L15" s="736"/>
      <c r="M15" s="736">
        <v>3</v>
      </c>
      <c r="N15" s="736"/>
      <c r="O15" s="736" t="s">
        <v>254</v>
      </c>
      <c r="P15" s="736"/>
      <c r="Q15" s="736"/>
      <c r="R15" s="736"/>
      <c r="S15" s="736"/>
      <c r="T15" s="736"/>
      <c r="U15" s="736"/>
      <c r="V15" s="736"/>
      <c r="W15" s="736"/>
      <c r="X15" s="736"/>
      <c r="Y15" s="736"/>
      <c r="Z15" s="736"/>
      <c r="AA15" s="736"/>
      <c r="AB15" s="736"/>
      <c r="AC15" s="736"/>
      <c r="AD15" s="736"/>
      <c r="AE15" s="736"/>
      <c r="AF15" s="736"/>
      <c r="AG15" s="736"/>
    </row>
    <row r="16" spans="1:33" s="17" customFormat="1" ht="27.95" customHeight="1" x14ac:dyDescent="0.25">
      <c r="A16" s="278">
        <v>1</v>
      </c>
      <c r="B16" s="788">
        <v>0.24652777777777779</v>
      </c>
      <c r="C16" s="788"/>
      <c r="D16" s="789" t="s">
        <v>427</v>
      </c>
      <c r="E16" s="790"/>
      <c r="F16" s="790"/>
      <c r="G16" s="790" t="s">
        <v>235</v>
      </c>
      <c r="H16" s="791"/>
      <c r="I16" s="797">
        <v>69</v>
      </c>
      <c r="J16" s="797"/>
      <c r="K16" s="792"/>
      <c r="L16" s="792"/>
      <c r="M16" s="798"/>
      <c r="N16" s="798"/>
      <c r="O16" s="799">
        <f xml:space="preserve">
IFERROR(
IF((AVERAGE(I16,K16,M16)&gt;=Dizayn!$J$49)*(AVERAGE(I16,K16,M16)&lt;=Dizayn!L49),
ROUND(AVERAGE(I16,K16,M16),1),
ROUND(AVERAGE(I16,K16,M16),1)&amp;"X"),
"")</f>
        <v>69</v>
      </c>
      <c r="P16" s="799"/>
      <c r="Q16" s="792">
        <v>1277.7</v>
      </c>
      <c r="R16" s="792"/>
      <c r="S16" s="792"/>
      <c r="T16" s="792">
        <v>728</v>
      </c>
      <c r="U16" s="792"/>
      <c r="V16" s="792">
        <v>1300</v>
      </c>
      <c r="W16" s="792"/>
      <c r="X16" s="792"/>
      <c r="Y16" s="662">
        <f>IFERROR(Q16/(V16-T16),"X")</f>
        <v>2.2337412587412588</v>
      </c>
      <c r="Z16" s="662"/>
      <c r="AA16" s="662"/>
      <c r="AB16" s="800" t="str">
        <f ca="1">IFERROR(IF(Y16/$V$12*100&lt;INDIRECT("Dizayn!"&amp;Dizayn!$L$25&amp;"44"),ROUND(Y16/$V$12*100,1)&amp;"X",ROUND(Y16/$V$12*100,1)),"")</f>
        <v>94,2X</v>
      </c>
      <c r="AC16" s="800"/>
      <c r="AD16" s="800"/>
      <c r="AE16" s="806" t="str">
        <f ca="1">IFERROR(IF(($AE$12-Y16)/$AE$12*100&lt;=INDIRECT("Dizayn!"&amp;Dizayn!$L$25&amp;46),ROUND(($AE$12-Y16)/$AE$12*100,1),ROUND(($AE$12-Y16)/$AE$12*100,1)&amp;"X"),"")</f>
        <v>9,9X</v>
      </c>
      <c r="AF16" s="807"/>
      <c r="AG16" s="808"/>
    </row>
    <row r="17" spans="1:37" s="17" customFormat="1" ht="27.95" customHeight="1" x14ac:dyDescent="0.25">
      <c r="A17" s="278">
        <v>2</v>
      </c>
      <c r="B17" s="788">
        <v>0.25</v>
      </c>
      <c r="C17" s="788"/>
      <c r="D17" s="789">
        <v>3960</v>
      </c>
      <c r="E17" s="790"/>
      <c r="F17" s="790"/>
      <c r="G17" s="790" t="s">
        <v>235</v>
      </c>
      <c r="H17" s="791"/>
      <c r="I17" s="797">
        <v>80</v>
      </c>
      <c r="J17" s="797"/>
      <c r="K17" s="792"/>
      <c r="L17" s="792"/>
      <c r="M17" s="798"/>
      <c r="N17" s="798"/>
      <c r="O17" s="799" t="str">
        <f xml:space="preserve">
IFERROR(
IF((AVERAGE(I17,K17,M17)&gt;=Dizayn!$J$49)*(AVERAGE(I17,K17,M17)&lt;=Dizayn!L51),
ROUND(AVERAGE(I17,K17,M17),1),
ROUND(AVERAGE(I17,K17,M17),1)&amp;"X"),
"")</f>
        <v>80X</v>
      </c>
      <c r="P17" s="799"/>
      <c r="Q17" s="792">
        <v>1277.7</v>
      </c>
      <c r="R17" s="792"/>
      <c r="S17" s="792"/>
      <c r="T17" s="792">
        <v>728</v>
      </c>
      <c r="U17" s="792"/>
      <c r="V17" s="792">
        <v>1262.7</v>
      </c>
      <c r="W17" s="792"/>
      <c r="X17" s="792"/>
      <c r="Y17" s="662">
        <f t="shared" ref="Y17:Y31" si="0">IFERROR(Q17/(V17-T17),"")</f>
        <v>2.3895642416308207</v>
      </c>
      <c r="Z17" s="662"/>
      <c r="AA17" s="662"/>
      <c r="AB17" s="800">
        <f ca="1">IFERROR(IF(Y17/$V$12*100&lt;INDIRECT("Dizayn!"&amp;Dizayn!$L$25&amp;"44"),ROUND(Y17/$V$12*100,1)&amp;"X",ROUND(Y17/$V$12*100,1)),"")</f>
        <v>100.8</v>
      </c>
      <c r="AC17" s="800"/>
      <c r="AD17" s="800"/>
      <c r="AE17" s="806">
        <f ca="1">IFERROR(IF(($AE$12-Y17)/$AE$12*100&lt;=INDIRECT("Dizayn!"&amp;Dizayn!$L$25&amp;46),ROUND(($AE$12-Y17)/$AE$12*100,1),ROUND(($AE$12-Y17)/$AE$12*100,1)&amp;"X"),"")</f>
        <v>3.6</v>
      </c>
      <c r="AF17" s="807"/>
      <c r="AG17" s="808"/>
    </row>
    <row r="18" spans="1:37" s="17" customFormat="1" ht="27.95" customHeight="1" x14ac:dyDescent="0.25">
      <c r="A18" s="278">
        <v>3</v>
      </c>
      <c r="B18" s="788">
        <v>0.25347222222222199</v>
      </c>
      <c r="C18" s="788"/>
      <c r="D18" s="789">
        <v>3840</v>
      </c>
      <c r="E18" s="790"/>
      <c r="F18" s="790"/>
      <c r="G18" s="790" t="s">
        <v>236</v>
      </c>
      <c r="H18" s="791"/>
      <c r="I18" s="797">
        <v>68.400000000000006</v>
      </c>
      <c r="J18" s="797"/>
      <c r="K18" s="792"/>
      <c r="L18" s="792"/>
      <c r="M18" s="798"/>
      <c r="N18" s="798"/>
      <c r="O18" s="799" t="str">
        <f xml:space="preserve">
IFERROR(
IF((AVERAGE(I18,K18,M18)&gt;=Dizayn!$J$49)*(AVERAGE(I18,K18,M18)&lt;=Dizayn!L53),
ROUND(AVERAGE(I18,K18,M18),1),
ROUND(AVERAGE(I18,K18,M18),1)&amp;"X"),
"")</f>
        <v>68,4X</v>
      </c>
      <c r="P18" s="799"/>
      <c r="Q18" s="792">
        <v>1277.7</v>
      </c>
      <c r="R18" s="792"/>
      <c r="S18" s="792"/>
      <c r="T18" s="792">
        <v>728</v>
      </c>
      <c r="U18" s="792"/>
      <c r="V18" s="792">
        <v>1262.7</v>
      </c>
      <c r="W18" s="792"/>
      <c r="X18" s="792"/>
      <c r="Y18" s="662">
        <f t="shared" si="0"/>
        <v>2.3895642416308207</v>
      </c>
      <c r="Z18" s="662"/>
      <c r="AA18" s="662"/>
      <c r="AB18" s="800">
        <f ca="1">IFERROR(IF(Y18/$V$12*100&lt;INDIRECT("Dizayn!"&amp;Dizayn!$L$25&amp;"44"),ROUND(Y18/$V$12*100,1)&amp;"X",ROUND(Y18/$V$12*100,1)),"")</f>
        <v>100.8</v>
      </c>
      <c r="AC18" s="800"/>
      <c r="AD18" s="800"/>
      <c r="AE18" s="806">
        <f ca="1">IFERROR(IF(($AE$12-Y18)/$AE$12*100&lt;=INDIRECT("Dizayn!"&amp;Dizayn!$L$25&amp;46),ROUND(($AE$12-Y18)/$AE$12*100,1),ROUND(($AE$12-Y18)/$AE$12*100,1)&amp;"X"),"")</f>
        <v>3.6</v>
      </c>
      <c r="AF18" s="807"/>
      <c r="AG18" s="808"/>
    </row>
    <row r="19" spans="1:37" s="17" customFormat="1" ht="27.95" customHeight="1" x14ac:dyDescent="0.25">
      <c r="A19" s="278">
        <v>4</v>
      </c>
      <c r="B19" s="788">
        <v>0.25694444444444398</v>
      </c>
      <c r="C19" s="788"/>
      <c r="D19" s="789">
        <v>3840</v>
      </c>
      <c r="E19" s="790"/>
      <c r="F19" s="790"/>
      <c r="G19" s="790" t="s">
        <v>236</v>
      </c>
      <c r="H19" s="791"/>
      <c r="I19" s="797">
        <v>68.2</v>
      </c>
      <c r="J19" s="797"/>
      <c r="K19" s="792"/>
      <c r="L19" s="792"/>
      <c r="M19" s="798"/>
      <c r="N19" s="798"/>
      <c r="O19" s="799" t="str">
        <f xml:space="preserve">
IFERROR(
IF((AVERAGE(I19,K19,M19)&gt;=Dizayn!$J$49)*(AVERAGE(I19,K19,M19)&lt;=Dizayn!L55),
ROUND(AVERAGE(I19,K19,M19),1),
ROUND(AVERAGE(I19,K19,M19),1)&amp;"X"),
"")</f>
        <v>68,2X</v>
      </c>
      <c r="P19" s="799"/>
      <c r="Q19" s="792">
        <v>1277.7</v>
      </c>
      <c r="R19" s="792"/>
      <c r="S19" s="792"/>
      <c r="T19" s="792">
        <v>728</v>
      </c>
      <c r="U19" s="792"/>
      <c r="V19" s="792">
        <v>1262.7</v>
      </c>
      <c r="W19" s="792"/>
      <c r="X19" s="792"/>
      <c r="Y19" s="662">
        <f t="shared" si="0"/>
        <v>2.3895642416308207</v>
      </c>
      <c r="Z19" s="662"/>
      <c r="AA19" s="662"/>
      <c r="AB19" s="800">
        <f ca="1">IFERROR(IF(Y19/$V$12*100&lt;INDIRECT("Dizayn!"&amp;Dizayn!$L$25&amp;"44"),ROUND(Y19/$V$12*100,1)&amp;"X",ROUND(Y19/$V$12*100,1)),"")</f>
        <v>100.8</v>
      </c>
      <c r="AC19" s="800"/>
      <c r="AD19" s="800"/>
      <c r="AE19" s="806">
        <f ca="1">IFERROR(IF(($AE$12-Y19)/$AE$12*100&lt;=INDIRECT("Dizayn!"&amp;Dizayn!$L$25&amp;46),ROUND(($AE$12-Y19)/$AE$12*100,1),ROUND(($AE$12-Y19)/$AE$12*100,1)&amp;"X"),"")</f>
        <v>3.6</v>
      </c>
      <c r="AF19" s="807"/>
      <c r="AG19" s="808"/>
    </row>
    <row r="20" spans="1:37" s="17" customFormat="1" ht="27.95" customHeight="1" x14ac:dyDescent="0.25">
      <c r="A20" s="278">
        <v>5</v>
      </c>
      <c r="B20" s="788">
        <v>0.26041666666666702</v>
      </c>
      <c r="C20" s="788"/>
      <c r="D20" s="789">
        <v>3720</v>
      </c>
      <c r="E20" s="790"/>
      <c r="F20" s="790"/>
      <c r="G20" s="790" t="s">
        <v>235</v>
      </c>
      <c r="H20" s="791"/>
      <c r="I20" s="797">
        <v>74.2</v>
      </c>
      <c r="J20" s="797"/>
      <c r="K20" s="792"/>
      <c r="L20" s="792"/>
      <c r="M20" s="798"/>
      <c r="N20" s="798"/>
      <c r="O20" s="799" t="str">
        <f xml:space="preserve">
IFERROR(
IF((AVERAGE(I20,K20,M20)&gt;=Dizayn!$J$49)*(AVERAGE(I20,K20,M20)&lt;=Dizayn!L57),
ROUND(AVERAGE(I20,K20,M20),1),
ROUND(AVERAGE(I20,K20,M20),1)&amp;"X"),
"")</f>
        <v>74,2X</v>
      </c>
      <c r="P20" s="799"/>
      <c r="Q20" s="792">
        <v>1277.7</v>
      </c>
      <c r="R20" s="792"/>
      <c r="S20" s="792"/>
      <c r="T20" s="792">
        <v>728</v>
      </c>
      <c r="U20" s="792"/>
      <c r="V20" s="792">
        <v>1262.7</v>
      </c>
      <c r="W20" s="792"/>
      <c r="X20" s="792"/>
      <c r="Y20" s="662">
        <f t="shared" si="0"/>
        <v>2.3895642416308207</v>
      </c>
      <c r="Z20" s="662"/>
      <c r="AA20" s="662"/>
      <c r="AB20" s="800">
        <f ca="1">IFERROR(IF(Y20/$V$12*100&lt;INDIRECT("Dizayn!"&amp;Dizayn!$L$25&amp;"44"),ROUND(Y20/$V$12*100,1)&amp;"X",ROUND(Y20/$V$12*100,1)),"")</f>
        <v>100.8</v>
      </c>
      <c r="AC20" s="800"/>
      <c r="AD20" s="800"/>
      <c r="AE20" s="806">
        <f ca="1">IFERROR(IF(($AE$12-Y20)/$AE$12*100&lt;=INDIRECT("Dizayn!"&amp;Dizayn!$L$25&amp;46),ROUND(($AE$12-Y20)/$AE$12*100,1),ROUND(($AE$12-Y20)/$AE$12*100,1)&amp;"X"),"")</f>
        <v>3.6</v>
      </c>
      <c r="AF20" s="807"/>
      <c r="AG20" s="808"/>
    </row>
    <row r="21" spans="1:37" s="17" customFormat="1" ht="27.95" customHeight="1" x14ac:dyDescent="0.25">
      <c r="A21" s="278">
        <v>6</v>
      </c>
      <c r="B21" s="788">
        <v>0.26388888888888901</v>
      </c>
      <c r="C21" s="788"/>
      <c r="D21" s="789">
        <v>3720</v>
      </c>
      <c r="E21" s="790"/>
      <c r="F21" s="790"/>
      <c r="G21" s="790" t="s">
        <v>235</v>
      </c>
      <c r="H21" s="791"/>
      <c r="I21" s="797">
        <v>82.2</v>
      </c>
      <c r="J21" s="797"/>
      <c r="K21" s="792"/>
      <c r="L21" s="792"/>
      <c r="M21" s="798"/>
      <c r="N21" s="798"/>
      <c r="O21" s="799" t="str">
        <f xml:space="preserve">
IFERROR(
IF((AVERAGE(I21,K21,M21)&gt;=Dizayn!$J$49)*(AVERAGE(I21,K21,M21)&lt;=Dizayn!L59),
ROUND(AVERAGE(I21,K21,M21),1),
ROUND(AVERAGE(I21,K21,M21),1)&amp;"X"),
"")</f>
        <v>82,2X</v>
      </c>
      <c r="P21" s="799"/>
      <c r="Q21" s="792">
        <v>1277.7</v>
      </c>
      <c r="R21" s="792"/>
      <c r="S21" s="792"/>
      <c r="T21" s="792">
        <v>728</v>
      </c>
      <c r="U21" s="792"/>
      <c r="V21" s="792">
        <v>1262.7</v>
      </c>
      <c r="W21" s="792"/>
      <c r="X21" s="792"/>
      <c r="Y21" s="662">
        <f t="shared" si="0"/>
        <v>2.3895642416308207</v>
      </c>
      <c r="Z21" s="662"/>
      <c r="AA21" s="662"/>
      <c r="AB21" s="800">
        <f ca="1">IFERROR(IF(Y21/$V$12*100&lt;INDIRECT("Dizayn!"&amp;Dizayn!$L$25&amp;"44"),ROUND(Y21/$V$12*100,1)&amp;"X",ROUND(Y21/$V$12*100,1)),"")</f>
        <v>100.8</v>
      </c>
      <c r="AC21" s="800"/>
      <c r="AD21" s="800"/>
      <c r="AE21" s="806">
        <f ca="1">IFERROR(IF(($AE$12-Y21)/$AE$12*100&lt;=INDIRECT("Dizayn!"&amp;Dizayn!$L$25&amp;46),ROUND(($AE$12-Y21)/$AE$12*100,1),ROUND(($AE$12-Y21)/$AE$12*100,1)&amp;"X"),"")</f>
        <v>3.6</v>
      </c>
      <c r="AF21" s="807"/>
      <c r="AG21" s="808"/>
    </row>
    <row r="22" spans="1:37" s="17" customFormat="1" ht="27.95" customHeight="1" x14ac:dyDescent="0.25">
      <c r="A22" s="278">
        <v>7</v>
      </c>
      <c r="B22" s="788">
        <v>0.26736111111111099</v>
      </c>
      <c r="C22" s="788"/>
      <c r="D22" s="789">
        <v>3580</v>
      </c>
      <c r="E22" s="790"/>
      <c r="F22" s="790"/>
      <c r="G22" s="790" t="s">
        <v>236</v>
      </c>
      <c r="H22" s="791"/>
      <c r="I22" s="797">
        <v>68.3</v>
      </c>
      <c r="J22" s="797"/>
      <c r="K22" s="792"/>
      <c r="L22" s="792"/>
      <c r="M22" s="798"/>
      <c r="N22" s="798"/>
      <c r="O22" s="799" t="str">
        <f xml:space="preserve">
IFERROR(
IF((AVERAGE(I22,K22,M22)&gt;=Dizayn!$J$49)*(AVERAGE(I22,K22,M22)&lt;=Dizayn!L61),
ROUND(AVERAGE(I22,K22,M22),1),
ROUND(AVERAGE(I22,K22,M22),1)&amp;"X"),
"")</f>
        <v>68,3X</v>
      </c>
      <c r="P22" s="799"/>
      <c r="Q22" s="792">
        <v>1277.7</v>
      </c>
      <c r="R22" s="792"/>
      <c r="S22" s="792"/>
      <c r="T22" s="792">
        <v>728</v>
      </c>
      <c r="U22" s="792"/>
      <c r="V22" s="792">
        <v>1262.7</v>
      </c>
      <c r="W22" s="792"/>
      <c r="X22" s="792"/>
      <c r="Y22" s="662">
        <f t="shared" si="0"/>
        <v>2.3895642416308207</v>
      </c>
      <c r="Z22" s="662"/>
      <c r="AA22" s="662"/>
      <c r="AB22" s="800">
        <f ca="1">IFERROR(IF(Y22/$V$12*100&lt;INDIRECT("Dizayn!"&amp;Dizayn!$L$25&amp;"44"),ROUND(Y22/$V$12*100,1)&amp;"X",ROUND(Y22/$V$12*100,1)),"")</f>
        <v>100.8</v>
      </c>
      <c r="AC22" s="800"/>
      <c r="AD22" s="800"/>
      <c r="AE22" s="806">
        <f ca="1">IFERROR(IF(($AE$12-Y22)/$AE$12*100&lt;=INDIRECT("Dizayn!"&amp;Dizayn!$L$25&amp;46),ROUND(($AE$12-Y22)/$AE$12*100,1),ROUND(($AE$12-Y22)/$AE$12*100,1)&amp;"X"),"")</f>
        <v>3.6</v>
      </c>
      <c r="AF22" s="807"/>
      <c r="AG22" s="808"/>
    </row>
    <row r="23" spans="1:37" s="17" customFormat="1" ht="27.95" customHeight="1" x14ac:dyDescent="0.25">
      <c r="A23" s="278">
        <v>8</v>
      </c>
      <c r="B23" s="788">
        <v>0.27083333333333298</v>
      </c>
      <c r="C23" s="788"/>
      <c r="D23" s="789">
        <v>3580</v>
      </c>
      <c r="E23" s="790"/>
      <c r="F23" s="790"/>
      <c r="G23" s="790" t="s">
        <v>236</v>
      </c>
      <c r="H23" s="791"/>
      <c r="I23" s="797">
        <v>78.2</v>
      </c>
      <c r="J23" s="797"/>
      <c r="K23" s="792"/>
      <c r="L23" s="792"/>
      <c r="M23" s="798"/>
      <c r="N23" s="798"/>
      <c r="O23" s="799" t="str">
        <f xml:space="preserve">
IFERROR(
IF((AVERAGE(I23,K23,M23)&gt;=Dizayn!$J$49)*(AVERAGE(I23,K23,M23)&lt;=Dizayn!L63),
ROUND(AVERAGE(I23,K23,M23),1),
ROUND(AVERAGE(I23,K23,M23),1)&amp;"X"),
"")</f>
        <v>78,2X</v>
      </c>
      <c r="P23" s="799"/>
      <c r="Q23" s="792">
        <v>1277.7</v>
      </c>
      <c r="R23" s="792"/>
      <c r="S23" s="792"/>
      <c r="T23" s="792">
        <v>728</v>
      </c>
      <c r="U23" s="792"/>
      <c r="V23" s="792">
        <v>1262.7</v>
      </c>
      <c r="W23" s="792"/>
      <c r="X23" s="792"/>
      <c r="Y23" s="662">
        <f t="shared" si="0"/>
        <v>2.3895642416308207</v>
      </c>
      <c r="Z23" s="662"/>
      <c r="AA23" s="662"/>
      <c r="AB23" s="800">
        <f ca="1">IFERROR(IF(Y23/$V$12*100&lt;INDIRECT("Dizayn!"&amp;Dizayn!$L$25&amp;"44"),ROUND(Y23/$V$12*100,1)&amp;"X",ROUND(Y23/$V$12*100,1)),"")</f>
        <v>100.8</v>
      </c>
      <c r="AC23" s="800"/>
      <c r="AD23" s="800"/>
      <c r="AE23" s="806">
        <f ca="1">IFERROR(IF(($AE$12-Y23)/$AE$12*100&lt;=INDIRECT("Dizayn!"&amp;Dizayn!$L$25&amp;46),ROUND(($AE$12-Y23)/$AE$12*100,1),ROUND(($AE$12-Y23)/$AE$12*100,1)&amp;"X"),"")</f>
        <v>3.6</v>
      </c>
      <c r="AF23" s="807"/>
      <c r="AG23" s="808"/>
    </row>
    <row r="24" spans="1:37" ht="27.95" customHeight="1" x14ac:dyDescent="0.2">
      <c r="A24" s="278">
        <v>9</v>
      </c>
      <c r="B24" s="788">
        <v>0.27430555555555503</v>
      </c>
      <c r="C24" s="788"/>
      <c r="D24" s="789">
        <v>3450</v>
      </c>
      <c r="E24" s="790"/>
      <c r="F24" s="790"/>
      <c r="G24" s="790" t="s">
        <v>235</v>
      </c>
      <c r="H24" s="791"/>
      <c r="I24" s="797">
        <v>70.5</v>
      </c>
      <c r="J24" s="797"/>
      <c r="K24" s="792"/>
      <c r="L24" s="792"/>
      <c r="M24" s="798"/>
      <c r="N24" s="798"/>
      <c r="O24" s="799" t="str">
        <f xml:space="preserve">
IFERROR(
IF((AVERAGE(I24,K24,M24)&gt;=Dizayn!$J$49)*(AVERAGE(I24,K24,M24)&lt;=Dizayn!L65),
ROUND(AVERAGE(I24,K24,M24),1),
ROUND(AVERAGE(I24,K24,M24),1)&amp;"X"),
"")</f>
        <v>70,5X</v>
      </c>
      <c r="P24" s="799"/>
      <c r="Q24" s="792">
        <v>1277.7</v>
      </c>
      <c r="R24" s="792"/>
      <c r="S24" s="792"/>
      <c r="T24" s="792">
        <v>728</v>
      </c>
      <c r="U24" s="792"/>
      <c r="V24" s="792">
        <v>1262.7</v>
      </c>
      <c r="W24" s="792"/>
      <c r="X24" s="792"/>
      <c r="Y24" s="662">
        <f t="shared" si="0"/>
        <v>2.3895642416308207</v>
      </c>
      <c r="Z24" s="662"/>
      <c r="AA24" s="662"/>
      <c r="AB24" s="800">
        <f ca="1">IFERROR(IF(Y24/$V$12*100&lt;INDIRECT("Dizayn!"&amp;Dizayn!$L$25&amp;"44"),ROUND(Y24/$V$12*100,1)&amp;"X",ROUND(Y24/$V$12*100,1)),"")</f>
        <v>100.8</v>
      </c>
      <c r="AC24" s="800"/>
      <c r="AD24" s="800"/>
      <c r="AE24" s="806">
        <f ca="1">IFERROR(IF(($AE$12-Y24)/$AE$12*100&lt;=INDIRECT("Dizayn!"&amp;Dizayn!$L$25&amp;46),ROUND(($AE$12-Y24)/$AE$12*100,1),ROUND(($AE$12-Y24)/$AE$12*100,1)&amp;"X"),"")</f>
        <v>3.6</v>
      </c>
      <c r="AF24" s="807"/>
      <c r="AG24" s="808"/>
      <c r="AJ24" s="17"/>
    </row>
    <row r="25" spans="1:37" ht="27.95" customHeight="1" x14ac:dyDescent="0.2">
      <c r="A25" s="278">
        <v>10</v>
      </c>
      <c r="B25" s="788">
        <v>0.27777777777777801</v>
      </c>
      <c r="C25" s="788"/>
      <c r="D25" s="789">
        <v>3450</v>
      </c>
      <c r="E25" s="790"/>
      <c r="F25" s="790"/>
      <c r="G25" s="790" t="s">
        <v>235</v>
      </c>
      <c r="H25" s="791"/>
      <c r="I25" s="797">
        <v>68.599999999999994</v>
      </c>
      <c r="J25" s="797"/>
      <c r="K25" s="792"/>
      <c r="L25" s="792"/>
      <c r="M25" s="798"/>
      <c r="N25" s="798"/>
      <c r="O25" s="799" t="str">
        <f xml:space="preserve">
IFERROR(
IF((AVERAGE(I25,K25,M25)&gt;=Dizayn!$J$49)*(AVERAGE(I25,K25,M25)&lt;=Dizayn!L67),
ROUND(AVERAGE(I25,K25,M25),1),
ROUND(AVERAGE(I25,K25,M25),1)&amp;"X"),
"")</f>
        <v>68,6X</v>
      </c>
      <c r="P25" s="799"/>
      <c r="Q25" s="792">
        <v>1277.7</v>
      </c>
      <c r="R25" s="792"/>
      <c r="S25" s="792"/>
      <c r="T25" s="792">
        <v>728</v>
      </c>
      <c r="U25" s="792"/>
      <c r="V25" s="792">
        <v>1262.7</v>
      </c>
      <c r="W25" s="792"/>
      <c r="X25" s="792"/>
      <c r="Y25" s="662">
        <f t="shared" si="0"/>
        <v>2.3895642416308207</v>
      </c>
      <c r="Z25" s="662"/>
      <c r="AA25" s="662"/>
      <c r="AB25" s="800">
        <f ca="1">IFERROR(IF(Y25/$V$12*100&lt;INDIRECT("Dizayn!"&amp;Dizayn!$L$25&amp;"44"),ROUND(Y25/$V$12*100,1)&amp;"X",ROUND(Y25/$V$12*100,1)),"")</f>
        <v>100.8</v>
      </c>
      <c r="AC25" s="800"/>
      <c r="AD25" s="800"/>
      <c r="AE25" s="806">
        <f ca="1">IFERROR(IF(($AE$12-Y25)/$AE$12*100&lt;=INDIRECT("Dizayn!"&amp;Dizayn!$L$25&amp;46),ROUND(($AE$12-Y25)/$AE$12*100,1),ROUND(($AE$12-Y25)/$AE$12*100,1)&amp;"X"),"")</f>
        <v>3.6</v>
      </c>
      <c r="AF25" s="807"/>
      <c r="AG25" s="808"/>
      <c r="AJ25" s="17"/>
    </row>
    <row r="26" spans="1:37" ht="27.95" customHeight="1" x14ac:dyDescent="0.2">
      <c r="A26" s="278">
        <v>11</v>
      </c>
      <c r="B26" s="788">
        <v>0.28125</v>
      </c>
      <c r="C26" s="788"/>
      <c r="D26" s="789">
        <v>3330</v>
      </c>
      <c r="E26" s="790"/>
      <c r="F26" s="790"/>
      <c r="G26" s="790" t="s">
        <v>236</v>
      </c>
      <c r="H26" s="791"/>
      <c r="I26" s="797">
        <v>68.7</v>
      </c>
      <c r="J26" s="797"/>
      <c r="K26" s="792"/>
      <c r="L26" s="792"/>
      <c r="M26" s="798"/>
      <c r="N26" s="798"/>
      <c r="O26" s="799" t="str">
        <f xml:space="preserve">
IFERROR(
IF((AVERAGE(I26,K26,M26)&gt;=Dizayn!$J$49)*(AVERAGE(I26,K26,M26)&lt;=Dizayn!L69),
ROUND(AVERAGE(I26,K26,M26),1),
ROUND(AVERAGE(I26,K26,M26),1)&amp;"X"),
"")</f>
        <v>68,7X</v>
      </c>
      <c r="P26" s="799"/>
      <c r="Q26" s="792">
        <v>1277.7</v>
      </c>
      <c r="R26" s="792"/>
      <c r="S26" s="792"/>
      <c r="T26" s="792">
        <v>728</v>
      </c>
      <c r="U26" s="792"/>
      <c r="V26" s="792">
        <v>1262.7</v>
      </c>
      <c r="W26" s="792"/>
      <c r="X26" s="792"/>
      <c r="Y26" s="662">
        <f t="shared" si="0"/>
        <v>2.3895642416308207</v>
      </c>
      <c r="Z26" s="662"/>
      <c r="AA26" s="662"/>
      <c r="AB26" s="800">
        <f ca="1">IFERROR(IF(Y26/$V$12*100&lt;INDIRECT("Dizayn!"&amp;Dizayn!$L$25&amp;"44"),ROUND(Y26/$V$12*100,1)&amp;"X",ROUND(Y26/$V$12*100,1)),"")</f>
        <v>100.8</v>
      </c>
      <c r="AC26" s="800"/>
      <c r="AD26" s="800"/>
      <c r="AE26" s="806">
        <f ca="1">IFERROR(IF(($AE$12-Y26)/$AE$12*100&lt;=INDIRECT("Dizayn!"&amp;Dizayn!$L$25&amp;46),ROUND(($AE$12-Y26)/$AE$12*100,1),ROUND(($AE$12-Y26)/$AE$12*100,1)&amp;"X"),"")</f>
        <v>3.6</v>
      </c>
      <c r="AF26" s="807"/>
      <c r="AG26" s="808"/>
      <c r="AJ26" s="17"/>
    </row>
    <row r="27" spans="1:37" ht="27.95" customHeight="1" x14ac:dyDescent="0.2">
      <c r="A27" s="278">
        <v>12</v>
      </c>
      <c r="B27" s="788">
        <v>0.28472222222222199</v>
      </c>
      <c r="C27" s="788"/>
      <c r="D27" s="789">
        <v>3330</v>
      </c>
      <c r="E27" s="790"/>
      <c r="F27" s="790"/>
      <c r="G27" s="790" t="s">
        <v>236</v>
      </c>
      <c r="H27" s="791"/>
      <c r="I27" s="797">
        <v>70</v>
      </c>
      <c r="J27" s="797"/>
      <c r="K27" s="792"/>
      <c r="L27" s="792"/>
      <c r="M27" s="798"/>
      <c r="N27" s="798"/>
      <c r="O27" s="799" t="str">
        <f xml:space="preserve">
IFERROR(
IF((AVERAGE(I27,K27,M27)&gt;=Dizayn!$J$49)*(AVERAGE(I27,K27,M27)&lt;=Dizayn!L71),
ROUND(AVERAGE(I27,K27,M27),1),
ROUND(AVERAGE(I27,K27,M27),1)&amp;"X"),
"")</f>
        <v>70X</v>
      </c>
      <c r="P27" s="799"/>
      <c r="Q27" s="792">
        <v>1277.7</v>
      </c>
      <c r="R27" s="792"/>
      <c r="S27" s="792"/>
      <c r="T27" s="792">
        <v>728</v>
      </c>
      <c r="U27" s="792"/>
      <c r="V27" s="792">
        <v>1262.7</v>
      </c>
      <c r="W27" s="792"/>
      <c r="X27" s="792"/>
      <c r="Y27" s="662">
        <f t="shared" si="0"/>
        <v>2.3895642416308207</v>
      </c>
      <c r="Z27" s="662"/>
      <c r="AA27" s="662"/>
      <c r="AB27" s="800">
        <f ca="1">IFERROR(IF(Y27/$V$12*100&lt;INDIRECT("Dizayn!"&amp;Dizayn!$L$25&amp;"44"),ROUND(Y27/$V$12*100,1)&amp;"X",ROUND(Y27/$V$12*100,1)),"")</f>
        <v>100.8</v>
      </c>
      <c r="AC27" s="800"/>
      <c r="AD27" s="800"/>
      <c r="AE27" s="806">
        <f ca="1">IFERROR(IF(($AE$12-Y27)/$AE$12*100&lt;=INDIRECT("Dizayn!"&amp;Dizayn!$L$25&amp;46),ROUND(($AE$12-Y27)/$AE$12*100,1),ROUND(($AE$12-Y27)/$AE$12*100,1)&amp;"X"),"")</f>
        <v>3.6</v>
      </c>
      <c r="AF27" s="807"/>
      <c r="AG27" s="808"/>
      <c r="AJ27" s="17"/>
      <c r="AK27" s="284"/>
    </row>
    <row r="28" spans="1:37" ht="27.95" customHeight="1" x14ac:dyDescent="0.2">
      <c r="A28" s="278">
        <v>13</v>
      </c>
      <c r="B28" s="788"/>
      <c r="C28" s="788"/>
      <c r="D28" s="789"/>
      <c r="E28" s="790"/>
      <c r="F28" s="790"/>
      <c r="G28" s="790"/>
      <c r="H28" s="791"/>
      <c r="I28" s="797"/>
      <c r="J28" s="797"/>
      <c r="K28" s="792"/>
      <c r="L28" s="792"/>
      <c r="M28" s="798"/>
      <c r="N28" s="798"/>
      <c r="O28" s="799" t="str">
        <f xml:space="preserve">
IFERROR(
IF((AVERAGE(I28,K28,M28)&gt;=Dizayn!$J$49)*(AVERAGE(I28,K28,M28)&lt;=Dizayn!L73),
ROUND(AVERAGE(I28,K28,M28),1),
ROUND(AVERAGE(I28,K28,M28),1)&amp;"X"),
"")</f>
        <v/>
      </c>
      <c r="P28" s="799"/>
      <c r="Q28" s="792"/>
      <c r="R28" s="792"/>
      <c r="S28" s="792"/>
      <c r="T28" s="792"/>
      <c r="U28" s="792"/>
      <c r="V28" s="792"/>
      <c r="W28" s="792"/>
      <c r="X28" s="792"/>
      <c r="Y28" s="662" t="str">
        <f t="shared" si="0"/>
        <v/>
      </c>
      <c r="Z28" s="662"/>
      <c r="AA28" s="662"/>
      <c r="AB28" s="800" t="str">
        <f ca="1">IFERROR(IF(Y28/$V$12*100&lt;INDIRECT("Dizayn!"&amp;Dizayn!$L$25&amp;"44"),ROUND(Y28/$V$12*100,1)&amp;"X",ROUND(Y28/$V$12*100,1)),"")</f>
        <v/>
      </c>
      <c r="AC28" s="800"/>
      <c r="AD28" s="800"/>
      <c r="AE28" s="806" t="str">
        <f ca="1">IFERROR(IF(($AE$12-Y28)/$AE$12*100&lt;=INDIRECT("Dizayn!"&amp;Dizayn!$L$25&amp;46),ROUND(($AE$12-Y28)/$AE$12*100,1),ROUND(($AE$12-Y28)/$AE$12*100,1)&amp;"X"),"")</f>
        <v/>
      </c>
      <c r="AF28" s="807"/>
      <c r="AG28" s="808"/>
      <c r="AJ28" s="17"/>
      <c r="AK28" s="284"/>
    </row>
    <row r="29" spans="1:37" ht="27.95" customHeight="1" x14ac:dyDescent="0.2">
      <c r="A29" s="278">
        <v>14</v>
      </c>
      <c r="B29" s="788"/>
      <c r="C29" s="788"/>
      <c r="D29" s="789"/>
      <c r="E29" s="790"/>
      <c r="F29" s="790"/>
      <c r="G29" s="790"/>
      <c r="H29" s="791"/>
      <c r="I29" s="797"/>
      <c r="J29" s="797"/>
      <c r="K29" s="792"/>
      <c r="L29" s="792"/>
      <c r="M29" s="798"/>
      <c r="N29" s="798"/>
      <c r="O29" s="799" t="str">
        <f xml:space="preserve">
IFERROR(
IF((AVERAGE(I29,K29,M29)&gt;=Dizayn!$J$49)*(AVERAGE(I29,K29,M29)&lt;=Dizayn!L75),
ROUND(AVERAGE(I29,K29,M29),1),
ROUND(AVERAGE(I29,K29,M29),1)&amp;"X"),
"")</f>
        <v/>
      </c>
      <c r="P29" s="799"/>
      <c r="Q29" s="792"/>
      <c r="R29" s="792"/>
      <c r="S29" s="792"/>
      <c r="T29" s="792"/>
      <c r="U29" s="792"/>
      <c r="V29" s="792"/>
      <c r="W29" s="792"/>
      <c r="X29" s="792"/>
      <c r="Y29" s="662" t="str">
        <f t="shared" si="0"/>
        <v/>
      </c>
      <c r="Z29" s="662"/>
      <c r="AA29" s="662"/>
      <c r="AB29" s="800" t="str">
        <f ca="1">IFERROR(IF(Y29/$V$12*100&lt;INDIRECT("Dizayn!"&amp;Dizayn!$L$25&amp;"44"),ROUND(Y29/$V$12*100,1)&amp;"X",ROUND(Y29/$V$12*100,1)),"")</f>
        <v/>
      </c>
      <c r="AC29" s="800"/>
      <c r="AD29" s="800"/>
      <c r="AE29" s="806" t="str">
        <f ca="1">IFERROR(IF(($AE$12-Y29)/$AE$12*100&lt;=INDIRECT("Dizayn!"&amp;Dizayn!$L$25&amp;46),ROUND(($AE$12-Y29)/$AE$12*100,1),ROUND(($AE$12-Y29)/$AE$12*100,1)&amp;"X"),"")</f>
        <v/>
      </c>
      <c r="AF29" s="807"/>
      <c r="AG29" s="808"/>
      <c r="AJ29" s="17"/>
    </row>
    <row r="30" spans="1:37" ht="27.95" customHeight="1" x14ac:dyDescent="0.2">
      <c r="A30" s="278">
        <v>15</v>
      </c>
      <c r="B30" s="788"/>
      <c r="C30" s="788"/>
      <c r="D30" s="789"/>
      <c r="E30" s="790"/>
      <c r="F30" s="790"/>
      <c r="G30" s="790"/>
      <c r="H30" s="791"/>
      <c r="I30" s="797"/>
      <c r="J30" s="797"/>
      <c r="K30" s="792"/>
      <c r="L30" s="792"/>
      <c r="M30" s="798"/>
      <c r="N30" s="798"/>
      <c r="O30" s="799" t="str">
        <f xml:space="preserve">
IFERROR(
IF((AVERAGE(I30,K30,M30)&gt;=Dizayn!$J$49)*(AVERAGE(I30,K30,M30)&lt;=Dizayn!L77),
ROUND(AVERAGE(I30,K30,M30),1),
ROUND(AVERAGE(I30,K30,M30),1)&amp;"X"),
"")</f>
        <v/>
      </c>
      <c r="P30" s="799"/>
      <c r="Q30" s="792"/>
      <c r="R30" s="792"/>
      <c r="S30" s="792"/>
      <c r="T30" s="792"/>
      <c r="U30" s="792"/>
      <c r="V30" s="792"/>
      <c r="W30" s="792"/>
      <c r="X30" s="792"/>
      <c r="Y30" s="662" t="str">
        <f t="shared" si="0"/>
        <v/>
      </c>
      <c r="Z30" s="662"/>
      <c r="AA30" s="662"/>
      <c r="AB30" s="800" t="str">
        <f ca="1">IFERROR(IF(Y30/$V$12*100&lt;INDIRECT("Dizayn!"&amp;Dizayn!$L$25&amp;"44"),ROUND(Y30/$V$12*100,1)&amp;"X",ROUND(Y30/$V$12*100,1)),"")</f>
        <v/>
      </c>
      <c r="AC30" s="800"/>
      <c r="AD30" s="800"/>
      <c r="AE30" s="806" t="str">
        <f ca="1">IFERROR(IF(($AE$12-Y30)/$AE$12*100&lt;=INDIRECT("Dizayn!"&amp;Dizayn!$L$25&amp;46),ROUND(($AE$12-Y30)/$AE$12*100,1),ROUND(($AE$12-Y30)/$AE$12*100,1)&amp;"X"),"")</f>
        <v/>
      </c>
      <c r="AF30" s="807"/>
      <c r="AG30" s="808"/>
      <c r="AJ30" s="17"/>
    </row>
    <row r="31" spans="1:37" ht="27.95" customHeight="1" x14ac:dyDescent="0.2">
      <c r="A31" s="278">
        <v>16</v>
      </c>
      <c r="B31" s="788"/>
      <c r="C31" s="788"/>
      <c r="D31" s="789"/>
      <c r="E31" s="790"/>
      <c r="F31" s="790"/>
      <c r="G31" s="790"/>
      <c r="H31" s="791"/>
      <c r="I31" s="797"/>
      <c r="J31" s="797"/>
      <c r="K31" s="792"/>
      <c r="L31" s="792"/>
      <c r="M31" s="798"/>
      <c r="N31" s="798"/>
      <c r="O31" s="799" t="str">
        <f xml:space="preserve">
IFERROR(
IF((AVERAGE(I31,K31,M31)&gt;=Dizayn!$J$49)*(AVERAGE(I31,K31,M31)&lt;=Dizayn!L79),
ROUND(AVERAGE(I31,K31,M31),1),
ROUND(AVERAGE(I31,K31,M31),1)&amp;"X"),
"")</f>
        <v/>
      </c>
      <c r="P31" s="799"/>
      <c r="Q31" s="792"/>
      <c r="R31" s="792"/>
      <c r="S31" s="792"/>
      <c r="T31" s="792"/>
      <c r="U31" s="792"/>
      <c r="V31" s="792"/>
      <c r="W31" s="792"/>
      <c r="X31" s="792"/>
      <c r="Y31" s="662" t="str">
        <f t="shared" si="0"/>
        <v/>
      </c>
      <c r="Z31" s="662"/>
      <c r="AA31" s="662"/>
      <c r="AB31" s="800" t="str">
        <f ca="1">IFERROR(IF(Y31/$V$12*100&lt;INDIRECT("Dizayn!"&amp;Dizayn!$L$25&amp;"44"),ROUND(Y31/$V$12*100,1)&amp;"X",ROUND(Y31/$V$12*100,1)),"")</f>
        <v/>
      </c>
      <c r="AC31" s="800"/>
      <c r="AD31" s="800"/>
      <c r="AE31" s="806" t="str">
        <f ca="1">IFERROR(IF(($AE$12-Y31)/$AE$12*100&lt;=INDIRECT("Dizayn!"&amp;Dizayn!$L$25&amp;46),ROUND(($AE$12-Y31)/$AE$12*100,1),ROUND(($AE$12-Y31)/$AE$12*100,1)&amp;"X"),"")</f>
        <v/>
      </c>
      <c r="AF31" s="807"/>
      <c r="AG31" s="808"/>
      <c r="AJ31" s="17"/>
      <c r="AK31" s="284"/>
    </row>
    <row r="32" spans="1:37" ht="27.95" customHeight="1" x14ac:dyDescent="0.2">
      <c r="A32" s="823" t="str">
        <f>"Ortalama Karot Kalınlığı ("&amp;Dizayn!$K$49&amp;" - "&amp;Dizayn!$L$49&amp;") (mm)"</f>
        <v>Ortalama Karot Kalınlığı (70 - 77) (mm)</v>
      </c>
      <c r="B32" s="824"/>
      <c r="C32" s="824"/>
      <c r="D32" s="824"/>
      <c r="E32" s="824"/>
      <c r="F32" s="824"/>
      <c r="G32" s="824"/>
      <c r="H32" s="824"/>
      <c r="I32" s="824"/>
      <c r="J32" s="824"/>
      <c r="K32" s="824"/>
      <c r="L32" s="824"/>
      <c r="M32" s="824"/>
      <c r="N32" s="825"/>
      <c r="O32" s="816" t="str">
        <f xml:space="preserve">
IFERROR(
IF((AVERAGE(O16:P31)&lt;=Dizayn!$L$49)*(AVERAGE(O4:P16)&gt;=Dizayn!$K$49),
ROUND(AVERAGE(O4:P16),0),
ROUND(AVERAGE(O4:P16),0)&amp;"X"),
"")</f>
        <v>69X</v>
      </c>
      <c r="P32" s="816"/>
      <c r="Q32" s="820" t="str">
        <f ca="1">"Ortalama Sıkışma % (min "&amp;INDIRECT("Dizayn!"&amp;Dizayn!L25&amp;45)&amp;") ve Boşluk % (maks. "&amp;INDIRECT("Dizayn!"&amp;Dizayn!L25&amp;46)&amp;")"</f>
        <v>Ortalama Sıkışma % (min 98) ve Boşluk % (maks. 7)</v>
      </c>
      <c r="R32" s="821"/>
      <c r="S32" s="821"/>
      <c r="T32" s="821"/>
      <c r="U32" s="821"/>
      <c r="V32" s="821"/>
      <c r="W32" s="821"/>
      <c r="X32" s="821"/>
      <c r="Y32" s="821"/>
      <c r="Z32" s="821"/>
      <c r="AA32" s="822"/>
      <c r="AB32" s="815">
        <f ca="1">IFERROR(IF(AVERAGE(AB16:AB31)&lt;INDIRECT("Dizayn!"&amp;Dizayn!$L$25&amp;"45"),ROUND(AVERAGE(AB16:AB31),1)&amp;"X",ROUND(AVERAGE(AB16:AB31),1)),"")</f>
        <v>100.8</v>
      </c>
      <c r="AC32" s="815"/>
      <c r="AD32" s="815"/>
      <c r="AE32" s="817">
        <f ca="1">IFERROR(IF(AVERAGE(AE16:AE31)&lt;=INDIRECT("Dizayn!"&amp;Dizayn!$L$25&amp;46),ROUND(AVERAGE(AE16:AE31),1),ROUND(AVERAGE(AE16:AE31),1)&amp;"X"),"")</f>
        <v>3.6</v>
      </c>
      <c r="AF32" s="818"/>
      <c r="AG32" s="819"/>
    </row>
    <row r="33" spans="1:33" ht="14.1" customHeight="1" x14ac:dyDescent="0.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26"/>
      <c r="AC33" s="26"/>
      <c r="AD33" s="26"/>
      <c r="AE33" s="26"/>
      <c r="AF33" s="26"/>
      <c r="AG33" s="27"/>
    </row>
    <row r="34" spans="1:33" ht="14.1" customHeight="1" x14ac:dyDescent="0.2">
      <c r="A34" s="12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21"/>
    </row>
    <row r="35" spans="1:33" ht="14.1" customHeight="1" x14ac:dyDescent="0.2">
      <c r="A35" s="12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21"/>
    </row>
    <row r="36" spans="1:33" ht="14.1" customHeight="1" x14ac:dyDescent="0.2">
      <c r="A36" s="12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21"/>
    </row>
    <row r="37" spans="1:33" ht="14.1" customHeight="1" x14ac:dyDescent="0.2">
      <c r="A37" s="12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21"/>
    </row>
    <row r="38" spans="1:33" ht="14.1" customHeight="1" x14ac:dyDescent="0.2">
      <c r="A38" s="12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21"/>
    </row>
    <row r="39" spans="1:33" ht="14.1" customHeight="1" x14ac:dyDescent="0.2">
      <c r="A39" s="12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21"/>
    </row>
    <row r="40" spans="1:33" ht="14.1" customHeight="1" x14ac:dyDescent="0.2">
      <c r="A40" s="12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21"/>
    </row>
    <row r="41" spans="1:33" ht="14.1" customHeight="1" x14ac:dyDescent="0.2">
      <c r="A41" s="117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3"/>
    </row>
    <row r="42" spans="1:33" ht="14.1" customHeight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1:33" ht="14.1" customHeight="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1:33" ht="14.1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1:33" ht="14.1" customHeigh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1:33" ht="14.1" customHeight="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1:33" ht="14.1" customHeight="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1:33" ht="14.1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1:33" ht="14.1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spans="1:33" ht="14.1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spans="1:33" ht="14.1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spans="1:33" ht="14.1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spans="1:33" ht="14.1" customHeight="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spans="1:33" ht="14.1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spans="1:33" ht="14.1" customHeight="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spans="1:33" ht="14.1" customHeight="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spans="1:33" ht="14.1" customHeight="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spans="1:33" ht="14.1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spans="1:33" ht="14.1" customHeigh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spans="1:33" ht="14.1" customHeight="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spans="1:33" ht="14.1" customHeight="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spans="1:33" ht="14.1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 spans="1:33" ht="14.1" customHeight="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 spans="1:33" ht="14.1" customHeight="1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</row>
    <row r="65" spans="1:33" ht="14.1" customHeight="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</row>
    <row r="66" spans="1:33" ht="14.1" customHeight="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</row>
    <row r="67" spans="1:33" ht="14.1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</row>
    <row r="68" spans="1:33" ht="14.1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</row>
  </sheetData>
  <sheetProtection password="CC3D" sheet="1" objects="1" scenarios="1"/>
  <mergeCells count="251">
    <mergeCell ref="A1:J6"/>
    <mergeCell ref="K1:W6"/>
    <mergeCell ref="X1:AG6"/>
    <mergeCell ref="AB32:AD32"/>
    <mergeCell ref="O32:P32"/>
    <mergeCell ref="AE32:AG32"/>
    <mergeCell ref="Q32:AA32"/>
    <mergeCell ref="A32:N32"/>
    <mergeCell ref="AE12:AG12"/>
    <mergeCell ref="A12:G12"/>
    <mergeCell ref="A13:A15"/>
    <mergeCell ref="B13:C15"/>
    <mergeCell ref="D13:H15"/>
    <mergeCell ref="I13:P14"/>
    <mergeCell ref="Q13:S15"/>
    <mergeCell ref="T13:U15"/>
    <mergeCell ref="V13:X15"/>
    <mergeCell ref="Y13:AA15"/>
    <mergeCell ref="AB13:AD15"/>
    <mergeCell ref="AE13:AG15"/>
    <mergeCell ref="Q12:U12"/>
    <mergeCell ref="Y30:AA30"/>
    <mergeCell ref="AB30:AD30"/>
    <mergeCell ref="AE30:AG30"/>
    <mergeCell ref="Y31:AA31"/>
    <mergeCell ref="AB31:AD31"/>
    <mergeCell ref="AE31:AG31"/>
    <mergeCell ref="B30:C30"/>
    <mergeCell ref="D30:F30"/>
    <mergeCell ref="G30:H30"/>
    <mergeCell ref="I30:J30"/>
    <mergeCell ref="M30:N30"/>
    <mergeCell ref="O30:P30"/>
    <mergeCell ref="Q30:S30"/>
    <mergeCell ref="T30:U30"/>
    <mergeCell ref="V30:X30"/>
    <mergeCell ref="B31:C31"/>
    <mergeCell ref="D31:F31"/>
    <mergeCell ref="G31:H31"/>
    <mergeCell ref="I31:J31"/>
    <mergeCell ref="M31:N31"/>
    <mergeCell ref="O31:P31"/>
    <mergeCell ref="Q31:S31"/>
    <mergeCell ref="T31:U31"/>
    <mergeCell ref="V31:X31"/>
    <mergeCell ref="Y28:AA28"/>
    <mergeCell ref="AB28:AD28"/>
    <mergeCell ref="AE28:AG28"/>
    <mergeCell ref="B29:C29"/>
    <mergeCell ref="D29:F29"/>
    <mergeCell ref="G29:H29"/>
    <mergeCell ref="I29:J29"/>
    <mergeCell ref="M29:N29"/>
    <mergeCell ref="O29:P29"/>
    <mergeCell ref="Q29:S29"/>
    <mergeCell ref="T29:U29"/>
    <mergeCell ref="V29:X29"/>
    <mergeCell ref="Y29:AA29"/>
    <mergeCell ref="AB29:AD29"/>
    <mergeCell ref="AE29:AG29"/>
    <mergeCell ref="B28:C28"/>
    <mergeCell ref="D28:F28"/>
    <mergeCell ref="G28:H28"/>
    <mergeCell ref="I28:J28"/>
    <mergeCell ref="M28:N28"/>
    <mergeCell ref="O28:P28"/>
    <mergeCell ref="Q28:S28"/>
    <mergeCell ref="T28:U28"/>
    <mergeCell ref="V28:X28"/>
    <mergeCell ref="Y26:AA26"/>
    <mergeCell ref="AB26:AD26"/>
    <mergeCell ref="AE26:AG26"/>
    <mergeCell ref="B27:C27"/>
    <mergeCell ref="D27:F27"/>
    <mergeCell ref="G27:H27"/>
    <mergeCell ref="I27:J27"/>
    <mergeCell ref="M27:N27"/>
    <mergeCell ref="O27:P27"/>
    <mergeCell ref="Q27:S27"/>
    <mergeCell ref="T27:U27"/>
    <mergeCell ref="V27:X27"/>
    <mergeCell ref="Y27:AA27"/>
    <mergeCell ref="AB27:AD27"/>
    <mergeCell ref="AE27:AG27"/>
    <mergeCell ref="B26:C26"/>
    <mergeCell ref="D26:F26"/>
    <mergeCell ref="G26:H26"/>
    <mergeCell ref="I26:J26"/>
    <mergeCell ref="M26:N26"/>
    <mergeCell ref="O26:P26"/>
    <mergeCell ref="Q26:S26"/>
    <mergeCell ref="T26:U26"/>
    <mergeCell ref="V26:X26"/>
    <mergeCell ref="I25:J25"/>
    <mergeCell ref="M25:N25"/>
    <mergeCell ref="O25:P25"/>
    <mergeCell ref="Q25:S25"/>
    <mergeCell ref="T25:U25"/>
    <mergeCell ref="V25:X25"/>
    <mergeCell ref="Y25:AA25"/>
    <mergeCell ref="AB25:AD25"/>
    <mergeCell ref="AE25:AG25"/>
    <mergeCell ref="I24:J24"/>
    <mergeCell ref="M24:N24"/>
    <mergeCell ref="O24:P24"/>
    <mergeCell ref="Q24:S24"/>
    <mergeCell ref="T24:U24"/>
    <mergeCell ref="V24:X24"/>
    <mergeCell ref="Y24:AA24"/>
    <mergeCell ref="AB24:AD24"/>
    <mergeCell ref="AE24:AG24"/>
    <mergeCell ref="I23:J23"/>
    <mergeCell ref="M23:N23"/>
    <mergeCell ref="O23:P23"/>
    <mergeCell ref="Q23:S23"/>
    <mergeCell ref="T23:U23"/>
    <mergeCell ref="V23:X23"/>
    <mergeCell ref="Y23:AA23"/>
    <mergeCell ref="AB23:AD23"/>
    <mergeCell ref="AE23:AG23"/>
    <mergeCell ref="I22:J22"/>
    <mergeCell ref="M22:N22"/>
    <mergeCell ref="O22:P22"/>
    <mergeCell ref="Q22:S22"/>
    <mergeCell ref="T22:U22"/>
    <mergeCell ref="V22:X22"/>
    <mergeCell ref="Y22:AA22"/>
    <mergeCell ref="AB22:AD22"/>
    <mergeCell ref="AE22:AG22"/>
    <mergeCell ref="AE20:AG20"/>
    <mergeCell ref="B21:C21"/>
    <mergeCell ref="D21:F21"/>
    <mergeCell ref="G21:H21"/>
    <mergeCell ref="I21:J21"/>
    <mergeCell ref="M21:N21"/>
    <mergeCell ref="O21:P21"/>
    <mergeCell ref="Q21:S21"/>
    <mergeCell ref="T21:U21"/>
    <mergeCell ref="V21:X21"/>
    <mergeCell ref="Y21:AA21"/>
    <mergeCell ref="AB21:AD21"/>
    <mergeCell ref="AE21:AG21"/>
    <mergeCell ref="B20:C20"/>
    <mergeCell ref="D20:F20"/>
    <mergeCell ref="G20:H20"/>
    <mergeCell ref="I20:J20"/>
    <mergeCell ref="M20:N20"/>
    <mergeCell ref="O20:P20"/>
    <mergeCell ref="Q20:S20"/>
    <mergeCell ref="T20:U20"/>
    <mergeCell ref="V20:X20"/>
    <mergeCell ref="Y20:AA20"/>
    <mergeCell ref="AE17:AG17"/>
    <mergeCell ref="O16:P16"/>
    <mergeCell ref="Q16:S16"/>
    <mergeCell ref="T16:U16"/>
    <mergeCell ref="V16:X16"/>
    <mergeCell ref="Y16:AA16"/>
    <mergeCell ref="AB18:AD18"/>
    <mergeCell ref="AE18:AG18"/>
    <mergeCell ref="B19:C19"/>
    <mergeCell ref="D19:F19"/>
    <mergeCell ref="G19:H19"/>
    <mergeCell ref="I19:J19"/>
    <mergeCell ref="M19:N19"/>
    <mergeCell ref="O19:P19"/>
    <mergeCell ref="Q19:S19"/>
    <mergeCell ref="T19:U19"/>
    <mergeCell ref="V19:X19"/>
    <mergeCell ref="Y19:AA19"/>
    <mergeCell ref="AB19:AD19"/>
    <mergeCell ref="AE19:AG19"/>
    <mergeCell ref="B18:C18"/>
    <mergeCell ref="D18:F18"/>
    <mergeCell ref="G18:H18"/>
    <mergeCell ref="I18:J18"/>
    <mergeCell ref="A11:AG11"/>
    <mergeCell ref="I15:J15"/>
    <mergeCell ref="K15:L15"/>
    <mergeCell ref="M15:N15"/>
    <mergeCell ref="O15:P15"/>
    <mergeCell ref="B16:C16"/>
    <mergeCell ref="D16:F16"/>
    <mergeCell ref="G16:H16"/>
    <mergeCell ref="I16:J16"/>
    <mergeCell ref="V12:X12"/>
    <mergeCell ref="M16:N16"/>
    <mergeCell ref="AB16:AD16"/>
    <mergeCell ref="AE16:AG16"/>
    <mergeCell ref="U7:Y7"/>
    <mergeCell ref="Z7:AG7"/>
    <mergeCell ref="U8:Y8"/>
    <mergeCell ref="Z8:AG8"/>
    <mergeCell ref="U9:Y9"/>
    <mergeCell ref="Z9:AG9"/>
    <mergeCell ref="A7:F8"/>
    <mergeCell ref="G7:T8"/>
    <mergeCell ref="A10:F10"/>
    <mergeCell ref="G10:T10"/>
    <mergeCell ref="U10:Y10"/>
    <mergeCell ref="Z10:AG10"/>
    <mergeCell ref="G9:T9"/>
    <mergeCell ref="A9:F9"/>
    <mergeCell ref="G23:H23"/>
    <mergeCell ref="B24:C24"/>
    <mergeCell ref="D24:F24"/>
    <mergeCell ref="G24:H24"/>
    <mergeCell ref="Y12:AD12"/>
    <mergeCell ref="H12:P12"/>
    <mergeCell ref="B17:C17"/>
    <mergeCell ref="D17:F17"/>
    <mergeCell ref="G17:H17"/>
    <mergeCell ref="I17:J17"/>
    <mergeCell ref="M17:N17"/>
    <mergeCell ref="O17:P17"/>
    <mergeCell ref="Q17:S17"/>
    <mergeCell ref="T17:U17"/>
    <mergeCell ref="V17:X17"/>
    <mergeCell ref="Y17:AA17"/>
    <mergeCell ref="AB17:AD17"/>
    <mergeCell ref="M18:N18"/>
    <mergeCell ref="O18:P18"/>
    <mergeCell ref="Q18:S18"/>
    <mergeCell ref="T18:U18"/>
    <mergeCell ref="V18:X18"/>
    <mergeCell ref="Y18:AA18"/>
    <mergeCell ref="AB20:AD20"/>
    <mergeCell ref="B25:C25"/>
    <mergeCell ref="D25:F25"/>
    <mergeCell ref="G25:H25"/>
    <mergeCell ref="B22:C22"/>
    <mergeCell ref="D22:F22"/>
    <mergeCell ref="K29:L29"/>
    <mergeCell ref="K30:L30"/>
    <mergeCell ref="K31:L31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28:L28"/>
    <mergeCell ref="G22:H22"/>
    <mergeCell ref="B23:C23"/>
    <mergeCell ref="D23:F23"/>
  </mergeCells>
  <conditionalFormatting sqref="AB16:AG31">
    <cfRule type="containsText" dxfId="6" priority="1" operator="containsText" text="X">
      <formula>NOT(ISERROR(SEARCH("X",AB16)))</formula>
    </cfRule>
  </conditionalFormatting>
  <pageMargins left="0.70866141732283472" right="0.35433070866141736" top="0.35433070866141736" bottom="0.35433070866141736" header="0" footer="0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72"/>
  <sheetViews>
    <sheetView showGridLines="0" tabSelected="1" zoomScale="70" zoomScaleNormal="70" zoomScaleSheetLayoutView="70" workbookViewId="0">
      <selection activeCell="AC16" sqref="AC16"/>
    </sheetView>
  </sheetViews>
  <sheetFormatPr defaultColWidth="9.140625" defaultRowHeight="21.95" customHeight="1" x14ac:dyDescent="0.25"/>
  <cols>
    <col min="1" max="1" width="3.7109375" style="18" customWidth="1"/>
    <col min="2" max="26" width="6.7109375" style="18" customWidth="1"/>
    <col min="27" max="27" width="9.140625" style="144"/>
    <col min="28" max="29" width="10.5703125" style="144" bestFit="1" customWidth="1"/>
    <col min="30" max="39" width="9.140625" style="144"/>
    <col min="40" max="16384" width="9.140625" style="18"/>
  </cols>
  <sheetData>
    <row r="1" spans="1:43" ht="21.95" customHeight="1" x14ac:dyDescent="0.25">
      <c r="A1" s="837"/>
      <c r="B1" s="838"/>
      <c r="C1" s="838"/>
      <c r="D1" s="838"/>
      <c r="E1" s="838"/>
      <c r="F1" s="838"/>
      <c r="G1" s="838"/>
      <c r="H1" s="838"/>
      <c r="I1" s="838"/>
      <c r="J1" s="843"/>
      <c r="K1" s="843"/>
      <c r="L1" s="843"/>
      <c r="M1" s="843"/>
      <c r="N1" s="843"/>
      <c r="O1" s="843"/>
      <c r="P1" s="843"/>
      <c r="Q1" s="843"/>
      <c r="R1" s="838"/>
      <c r="S1" s="838"/>
      <c r="T1" s="838"/>
      <c r="U1" s="838"/>
      <c r="V1" s="838"/>
      <c r="W1" s="838"/>
      <c r="X1" s="838"/>
      <c r="Y1" s="838"/>
      <c r="Z1" s="846"/>
    </row>
    <row r="2" spans="1:43" ht="21.95" customHeight="1" x14ac:dyDescent="0.25">
      <c r="A2" s="839"/>
      <c r="B2" s="840"/>
      <c r="C2" s="840"/>
      <c r="D2" s="840"/>
      <c r="E2" s="840"/>
      <c r="F2" s="840"/>
      <c r="G2" s="840"/>
      <c r="H2" s="840"/>
      <c r="I2" s="840"/>
      <c r="J2" s="844"/>
      <c r="K2" s="844"/>
      <c r="L2" s="844"/>
      <c r="M2" s="844"/>
      <c r="N2" s="844"/>
      <c r="O2" s="844"/>
      <c r="P2" s="844"/>
      <c r="Q2" s="844"/>
      <c r="R2" s="840"/>
      <c r="S2" s="840"/>
      <c r="T2" s="840"/>
      <c r="U2" s="840"/>
      <c r="V2" s="840"/>
      <c r="W2" s="840"/>
      <c r="X2" s="840"/>
      <c r="Y2" s="840"/>
      <c r="Z2" s="847"/>
    </row>
    <row r="3" spans="1:43" ht="21.95" customHeight="1" x14ac:dyDescent="0.25">
      <c r="A3" s="839"/>
      <c r="B3" s="840"/>
      <c r="C3" s="840"/>
      <c r="D3" s="840"/>
      <c r="E3" s="840"/>
      <c r="F3" s="840"/>
      <c r="G3" s="840"/>
      <c r="H3" s="840"/>
      <c r="I3" s="840"/>
      <c r="J3" s="844"/>
      <c r="K3" s="844"/>
      <c r="L3" s="844"/>
      <c r="M3" s="844"/>
      <c r="N3" s="844"/>
      <c r="O3" s="844"/>
      <c r="P3" s="844"/>
      <c r="Q3" s="844"/>
      <c r="R3" s="840"/>
      <c r="S3" s="840"/>
      <c r="T3" s="840"/>
      <c r="U3" s="840"/>
      <c r="V3" s="840"/>
      <c r="W3" s="840"/>
      <c r="X3" s="840"/>
      <c r="Y3" s="840"/>
      <c r="Z3" s="847"/>
    </row>
    <row r="4" spans="1:43" ht="21.95" customHeight="1" x14ac:dyDescent="0.25">
      <c r="A4" s="839"/>
      <c r="B4" s="840"/>
      <c r="C4" s="840"/>
      <c r="D4" s="840"/>
      <c r="E4" s="840"/>
      <c r="F4" s="840"/>
      <c r="G4" s="840"/>
      <c r="H4" s="840"/>
      <c r="I4" s="840"/>
      <c r="J4" s="844"/>
      <c r="K4" s="844"/>
      <c r="L4" s="844"/>
      <c r="M4" s="844"/>
      <c r="N4" s="844"/>
      <c r="O4" s="844"/>
      <c r="P4" s="844"/>
      <c r="Q4" s="844"/>
      <c r="R4" s="840"/>
      <c r="S4" s="840"/>
      <c r="T4" s="840"/>
      <c r="U4" s="840"/>
      <c r="V4" s="840"/>
      <c r="W4" s="840"/>
      <c r="X4" s="840"/>
      <c r="Y4" s="840"/>
      <c r="Z4" s="847"/>
    </row>
    <row r="5" spans="1:43" ht="21.95" customHeight="1" x14ac:dyDescent="0.25">
      <c r="A5" s="841"/>
      <c r="B5" s="842"/>
      <c r="C5" s="842"/>
      <c r="D5" s="842"/>
      <c r="E5" s="842"/>
      <c r="F5" s="842"/>
      <c r="G5" s="842"/>
      <c r="H5" s="842"/>
      <c r="I5" s="842"/>
      <c r="J5" s="845"/>
      <c r="K5" s="845"/>
      <c r="L5" s="845"/>
      <c r="M5" s="845"/>
      <c r="N5" s="845"/>
      <c r="O5" s="845"/>
      <c r="P5" s="845"/>
      <c r="Q5" s="845"/>
      <c r="R5" s="842"/>
      <c r="S5" s="842"/>
      <c r="T5" s="842"/>
      <c r="U5" s="842"/>
      <c r="V5" s="842"/>
      <c r="W5" s="842"/>
      <c r="X5" s="842"/>
      <c r="Y5" s="842"/>
      <c r="Z5" s="848"/>
    </row>
    <row r="6" spans="1:43" ht="21.95" customHeight="1" x14ac:dyDescent="0.25">
      <c r="A6" s="849" t="s">
        <v>91</v>
      </c>
      <c r="B6" s="850"/>
      <c r="C6" s="850"/>
      <c r="D6" s="850"/>
      <c r="E6" s="850"/>
      <c r="F6" s="850"/>
      <c r="G6" s="850"/>
      <c r="H6" s="850"/>
      <c r="I6" s="850"/>
      <c r="J6" s="850"/>
      <c r="K6" s="850"/>
      <c r="L6" s="850"/>
      <c r="M6" s="850"/>
      <c r="N6" s="850"/>
      <c r="O6" s="850"/>
      <c r="P6" s="850"/>
      <c r="Q6" s="850"/>
      <c r="R6" s="850"/>
      <c r="S6" s="850"/>
      <c r="T6" s="850"/>
      <c r="U6" s="850"/>
      <c r="V6" s="850"/>
      <c r="W6" s="850"/>
      <c r="X6" s="850"/>
      <c r="Y6" s="850"/>
      <c r="Z6" s="851"/>
    </row>
    <row r="7" spans="1:43" ht="21.95" customHeight="1" x14ac:dyDescent="0.25">
      <c r="A7" s="287"/>
      <c r="B7" s="852" t="s">
        <v>92</v>
      </c>
      <c r="C7" s="853"/>
      <c r="D7" s="854" t="str">
        <f>Dizayn!$C$4</f>
        <v>Keşan Ayrımı - Korudağı - Gelibolu Bölünmüş Yolu İşi</v>
      </c>
      <c r="E7" s="855"/>
      <c r="F7" s="855"/>
      <c r="G7" s="855"/>
      <c r="H7" s="855"/>
      <c r="I7" s="855"/>
      <c r="J7" s="855"/>
      <c r="K7" s="855"/>
      <c r="L7" s="855"/>
      <c r="M7" s="855"/>
      <c r="N7" s="855"/>
      <c r="O7" s="856"/>
      <c r="P7" s="863" t="s">
        <v>93</v>
      </c>
      <c r="Q7" s="864"/>
      <c r="R7" s="864"/>
      <c r="S7" s="865">
        <v>5</v>
      </c>
      <c r="T7" s="865"/>
      <c r="U7" s="865"/>
      <c r="V7" s="865"/>
      <c r="W7" s="865"/>
      <c r="X7" s="865"/>
      <c r="Y7" s="865"/>
      <c r="Z7" s="866"/>
    </row>
    <row r="8" spans="1:43" ht="21.95" customHeight="1" x14ac:dyDescent="0.25">
      <c r="A8" s="266"/>
      <c r="B8" s="832"/>
      <c r="C8" s="833"/>
      <c r="D8" s="857"/>
      <c r="E8" s="858"/>
      <c r="F8" s="858"/>
      <c r="G8" s="858"/>
      <c r="H8" s="858"/>
      <c r="I8" s="858"/>
      <c r="J8" s="858"/>
      <c r="K8" s="858"/>
      <c r="L8" s="858"/>
      <c r="M8" s="858"/>
      <c r="N8" s="858"/>
      <c r="O8" s="859"/>
      <c r="P8" s="828" t="s">
        <v>97</v>
      </c>
      <c r="Q8" s="829"/>
      <c r="R8" s="829"/>
      <c r="S8" s="830">
        <v>41750</v>
      </c>
      <c r="T8" s="830"/>
      <c r="U8" s="830"/>
      <c r="V8" s="830"/>
      <c r="W8" s="830"/>
      <c r="X8" s="830"/>
      <c r="Y8" s="830"/>
      <c r="Z8" s="831"/>
      <c r="AC8" s="144" t="s">
        <v>95</v>
      </c>
    </row>
    <row r="9" spans="1:43" ht="21.95" customHeight="1" x14ac:dyDescent="0.25">
      <c r="A9" s="266"/>
      <c r="B9" s="832"/>
      <c r="C9" s="833"/>
      <c r="D9" s="860"/>
      <c r="E9" s="861"/>
      <c r="F9" s="861"/>
      <c r="G9" s="861"/>
      <c r="H9" s="861"/>
      <c r="I9" s="861"/>
      <c r="J9" s="861"/>
      <c r="K9" s="861"/>
      <c r="L9" s="861"/>
      <c r="M9" s="861"/>
      <c r="N9" s="861"/>
      <c r="O9" s="862"/>
      <c r="P9" s="828" t="s">
        <v>94</v>
      </c>
      <c r="Q9" s="829"/>
      <c r="R9" s="829"/>
      <c r="S9" s="830">
        <v>41751</v>
      </c>
      <c r="T9" s="830"/>
      <c r="U9" s="830"/>
      <c r="V9" s="830"/>
      <c r="W9" s="830"/>
      <c r="X9" s="830"/>
      <c r="Y9" s="830"/>
      <c r="Z9" s="831"/>
    </row>
    <row r="10" spans="1:43" ht="21.95" customHeight="1" x14ac:dyDescent="0.25">
      <c r="A10" s="266"/>
      <c r="B10" s="832" t="s">
        <v>280</v>
      </c>
      <c r="C10" s="833"/>
      <c r="D10" s="833"/>
      <c r="E10" s="833"/>
      <c r="F10" s="833"/>
      <c r="G10" s="833" t="s">
        <v>265</v>
      </c>
      <c r="H10" s="833"/>
      <c r="I10" s="833"/>
      <c r="J10" s="833" t="s">
        <v>96</v>
      </c>
      <c r="K10" s="833"/>
      <c r="L10" s="833"/>
      <c r="M10" s="833" t="s">
        <v>281</v>
      </c>
      <c r="N10" s="833"/>
      <c r="O10" s="834"/>
      <c r="P10" s="828" t="s">
        <v>283</v>
      </c>
      <c r="Q10" s="829"/>
      <c r="R10" s="829"/>
      <c r="S10" s="835" t="s">
        <v>439</v>
      </c>
      <c r="T10" s="835"/>
      <c r="U10" s="835"/>
      <c r="V10" s="835"/>
      <c r="W10" s="835"/>
      <c r="X10" s="835"/>
      <c r="Y10" s="835"/>
      <c r="Z10" s="836"/>
      <c r="AH10" s="143"/>
      <c r="AI10" s="143"/>
      <c r="AJ10" s="143"/>
      <c r="AK10" s="143"/>
      <c r="AL10" s="143"/>
      <c r="AM10" s="143"/>
      <c r="AN10" s="185"/>
      <c r="AO10" s="185"/>
      <c r="AP10" s="185"/>
      <c r="AQ10" s="185"/>
    </row>
    <row r="11" spans="1:43" ht="21.95" customHeight="1" thickBot="1" x14ac:dyDescent="0.3">
      <c r="A11" s="267"/>
      <c r="B11" s="883" t="str">
        <f>Dizayn!$C$3</f>
        <v>Keşan Şantiyesi</v>
      </c>
      <c r="C11" s="884"/>
      <c r="D11" s="884"/>
      <c r="E11" s="884"/>
      <c r="F11" s="884"/>
      <c r="G11" s="885" t="str">
        <f>Dizayn!$C$5</f>
        <v>Çeltik T.O.</v>
      </c>
      <c r="H11" s="885"/>
      <c r="I11" s="885"/>
      <c r="J11" s="884" t="str">
        <f>Dizayn!$C$6</f>
        <v>Binder</v>
      </c>
      <c r="K11" s="884"/>
      <c r="L11" s="884"/>
      <c r="M11" s="886" t="str">
        <f>Dizayn!$C$8</f>
        <v>Bitümlü Temel</v>
      </c>
      <c r="N11" s="887"/>
      <c r="O11" s="887"/>
      <c r="P11" s="888" t="s">
        <v>98</v>
      </c>
      <c r="Q11" s="889"/>
      <c r="R11" s="889"/>
      <c r="S11" s="890" t="s">
        <v>282</v>
      </c>
      <c r="T11" s="890"/>
      <c r="U11" s="890"/>
      <c r="V11" s="890"/>
      <c r="W11" s="890"/>
      <c r="X11" s="890"/>
      <c r="Y11" s="890"/>
      <c r="Z11" s="891"/>
      <c r="AH11" s="143"/>
      <c r="AI11" s="143"/>
      <c r="AJ11" s="143"/>
      <c r="AK11" s="143"/>
      <c r="AL11" s="143"/>
      <c r="AM11" s="143"/>
      <c r="AN11" s="185"/>
      <c r="AO11" s="185"/>
      <c r="AP11" s="185"/>
      <c r="AQ11" s="185"/>
    </row>
    <row r="12" spans="1:43" ht="21.95" customHeight="1" thickTop="1" x14ac:dyDescent="0.25">
      <c r="A12" s="881" t="s">
        <v>113</v>
      </c>
      <c r="B12" s="74"/>
      <c r="C12" s="75"/>
      <c r="D12" s="75"/>
      <c r="E12" s="75"/>
      <c r="F12" s="75"/>
      <c r="G12" s="75"/>
      <c r="H12" s="76"/>
      <c r="I12" s="934" t="s">
        <v>99</v>
      </c>
      <c r="J12" s="936"/>
      <c r="K12" s="934" t="s">
        <v>100</v>
      </c>
      <c r="L12" s="936"/>
      <c r="M12" s="77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6"/>
      <c r="AH12" s="143"/>
      <c r="AI12" s="143"/>
      <c r="AJ12" s="143"/>
      <c r="AK12" s="143"/>
      <c r="AL12" s="143"/>
      <c r="AM12" s="143"/>
      <c r="AN12" s="185"/>
      <c r="AO12" s="185"/>
      <c r="AP12" s="185"/>
      <c r="AQ12" s="185"/>
    </row>
    <row r="13" spans="1:43" ht="21.95" customHeight="1" x14ac:dyDescent="0.25">
      <c r="A13" s="881"/>
      <c r="B13" s="46" t="s">
        <v>101</v>
      </c>
      <c r="C13" s="47"/>
      <c r="D13" s="47"/>
      <c r="E13" s="47"/>
      <c r="F13" s="47"/>
      <c r="G13" s="47"/>
      <c r="H13" s="268"/>
      <c r="I13" s="1042"/>
      <c r="J13" s="1043"/>
      <c r="K13" s="867" t="s">
        <v>102</v>
      </c>
      <c r="L13" s="868"/>
      <c r="M13" s="869" t="s">
        <v>103</v>
      </c>
      <c r="N13" s="870"/>
      <c r="O13" s="870"/>
      <c r="P13" s="870"/>
      <c r="Q13" s="870"/>
      <c r="R13" s="871"/>
      <c r="S13" s="837" t="s">
        <v>104</v>
      </c>
      <c r="T13" s="838"/>
      <c r="U13" s="838"/>
      <c r="V13" s="838"/>
      <c r="W13" s="838"/>
      <c r="X13" s="838"/>
      <c r="Y13" s="838"/>
      <c r="Z13" s="846"/>
      <c r="AH13" s="143"/>
      <c r="AI13" s="143"/>
      <c r="AJ13" s="143"/>
      <c r="AK13" s="143"/>
      <c r="AL13" s="143"/>
      <c r="AM13" s="143"/>
      <c r="AN13" s="185"/>
      <c r="AO13" s="185"/>
      <c r="AP13" s="185"/>
      <c r="AQ13" s="185"/>
    </row>
    <row r="14" spans="1:43" ht="21.95" customHeight="1" x14ac:dyDescent="0.25">
      <c r="A14" s="881"/>
      <c r="B14" s="46" t="s">
        <v>105</v>
      </c>
      <c r="C14" s="47"/>
      <c r="D14" s="47"/>
      <c r="E14" s="47"/>
      <c r="F14" s="47"/>
      <c r="G14" s="47"/>
      <c r="H14" s="268"/>
      <c r="I14" s="867"/>
      <c r="J14" s="868"/>
      <c r="K14" s="867"/>
      <c r="L14" s="868"/>
      <c r="M14" s="872"/>
      <c r="N14" s="873"/>
      <c r="O14" s="873"/>
      <c r="P14" s="873"/>
      <c r="Q14" s="873"/>
      <c r="R14" s="874"/>
      <c r="S14" s="841"/>
      <c r="T14" s="842"/>
      <c r="U14" s="842"/>
      <c r="V14" s="842"/>
      <c r="W14" s="842"/>
      <c r="X14" s="842"/>
      <c r="Y14" s="842"/>
      <c r="Z14" s="848"/>
      <c r="AH14" s="143"/>
      <c r="AI14" s="143"/>
      <c r="AJ14" s="143"/>
      <c r="AK14" s="143"/>
      <c r="AL14" s="143"/>
      <c r="AM14" s="143"/>
      <c r="AN14" s="185"/>
      <c r="AO14" s="185"/>
      <c r="AP14" s="185"/>
      <c r="AQ14" s="185"/>
    </row>
    <row r="15" spans="1:43" ht="21.95" customHeight="1" x14ac:dyDescent="0.25">
      <c r="A15" s="881"/>
      <c r="B15" s="1035" t="s">
        <v>106</v>
      </c>
      <c r="C15" s="1036"/>
      <c r="D15" s="46" t="s">
        <v>107</v>
      </c>
      <c r="E15" s="47"/>
      <c r="F15" s="47"/>
      <c r="G15" s="47"/>
      <c r="H15" s="48"/>
      <c r="I15" s="867"/>
      <c r="J15" s="868"/>
      <c r="K15" s="1044">
        <v>0.3</v>
      </c>
      <c r="L15" s="1045"/>
      <c r="M15" s="869" t="s">
        <v>108</v>
      </c>
      <c r="N15" s="870"/>
      <c r="O15" s="870"/>
      <c r="P15" s="870"/>
      <c r="Q15" s="870"/>
      <c r="R15" s="871"/>
      <c r="S15" s="875">
        <f>Dizayn!$F$45</f>
        <v>53.7</v>
      </c>
      <c r="T15" s="876"/>
      <c r="U15" s="876"/>
      <c r="V15" s="876"/>
      <c r="W15" s="876"/>
      <c r="X15" s="876"/>
      <c r="Y15" s="876"/>
      <c r="Z15" s="877"/>
      <c r="AH15" s="143"/>
      <c r="AI15" s="143"/>
      <c r="AJ15" s="143"/>
      <c r="AK15" s="186"/>
      <c r="AL15" s="186"/>
      <c r="AM15" s="143"/>
      <c r="AN15" s="187"/>
      <c r="AO15" s="187"/>
      <c r="AP15" s="187"/>
      <c r="AQ15" s="185"/>
    </row>
    <row r="16" spans="1:43" ht="21.95" customHeight="1" x14ac:dyDescent="0.25">
      <c r="A16" s="881"/>
      <c r="B16" s="967"/>
      <c r="C16" s="968"/>
      <c r="D16" s="46" t="s">
        <v>109</v>
      </c>
      <c r="E16" s="47"/>
      <c r="F16" s="47"/>
      <c r="G16" s="47"/>
      <c r="H16" s="48"/>
      <c r="I16" s="867"/>
      <c r="J16" s="868"/>
      <c r="K16" s="867">
        <v>0.3</v>
      </c>
      <c r="L16" s="868"/>
      <c r="M16" s="872"/>
      <c r="N16" s="873"/>
      <c r="O16" s="873"/>
      <c r="P16" s="873"/>
      <c r="Q16" s="873"/>
      <c r="R16" s="874"/>
      <c r="S16" s="878"/>
      <c r="T16" s="879"/>
      <c r="U16" s="879"/>
      <c r="V16" s="879"/>
      <c r="W16" s="879"/>
      <c r="X16" s="879"/>
      <c r="Y16" s="879"/>
      <c r="Z16" s="880"/>
      <c r="AH16" s="143"/>
      <c r="AI16" s="143"/>
      <c r="AJ16" s="143"/>
      <c r="AK16" s="143"/>
      <c r="AL16" s="143"/>
      <c r="AM16" s="143"/>
      <c r="AN16" s="185"/>
      <c r="AO16" s="185"/>
      <c r="AP16" s="185"/>
      <c r="AQ16" s="185"/>
    </row>
    <row r="17" spans="1:43" ht="21.95" customHeight="1" x14ac:dyDescent="0.25">
      <c r="A17" s="881"/>
      <c r="B17" s="46" t="s">
        <v>110</v>
      </c>
      <c r="C17" s="47"/>
      <c r="D17" s="47"/>
      <c r="E17" s="47"/>
      <c r="F17" s="47"/>
      <c r="G17" s="47"/>
      <c r="H17" s="268"/>
      <c r="I17" s="867"/>
      <c r="J17" s="868"/>
      <c r="K17" s="867"/>
      <c r="L17" s="868"/>
      <c r="M17" s="1035" t="s">
        <v>111</v>
      </c>
      <c r="N17" s="1046"/>
      <c r="O17" s="1046"/>
      <c r="P17" s="1046"/>
      <c r="Q17" s="1046"/>
      <c r="R17" s="1036"/>
      <c r="S17" s="900">
        <f>Dizayn!$F$46</f>
        <v>1.02</v>
      </c>
      <c r="T17" s="901"/>
      <c r="U17" s="901"/>
      <c r="V17" s="901"/>
      <c r="W17" s="901"/>
      <c r="X17" s="901"/>
      <c r="Y17" s="901"/>
      <c r="Z17" s="902"/>
      <c r="AH17" s="143"/>
      <c r="AI17" s="143"/>
      <c r="AJ17" s="143"/>
      <c r="AK17" s="143"/>
      <c r="AL17" s="143"/>
      <c r="AM17" s="143"/>
      <c r="AN17" s="185"/>
      <c r="AO17" s="185"/>
      <c r="AP17" s="185"/>
      <c r="AQ17" s="185"/>
    </row>
    <row r="18" spans="1:43" ht="21.95" customHeight="1" thickBot="1" x14ac:dyDescent="0.3">
      <c r="A18" s="881"/>
      <c r="B18" s="269" t="s">
        <v>112</v>
      </c>
      <c r="C18" s="270"/>
      <c r="D18" s="270"/>
      <c r="E18" s="270"/>
      <c r="F18" s="270"/>
      <c r="G18" s="270"/>
      <c r="H18" s="271"/>
      <c r="I18" s="906"/>
      <c r="J18" s="907"/>
      <c r="K18" s="906"/>
      <c r="L18" s="907"/>
      <c r="M18" s="1047"/>
      <c r="N18" s="1048"/>
      <c r="O18" s="1048"/>
      <c r="P18" s="1048"/>
      <c r="Q18" s="1048"/>
      <c r="R18" s="1049"/>
      <c r="S18" s="903"/>
      <c r="T18" s="904"/>
      <c r="U18" s="904"/>
      <c r="V18" s="904"/>
      <c r="W18" s="904"/>
      <c r="X18" s="904"/>
      <c r="Y18" s="904"/>
      <c r="Z18" s="905"/>
      <c r="AH18" s="143"/>
      <c r="AI18" s="143"/>
      <c r="AJ18" s="143"/>
      <c r="AK18" s="143"/>
      <c r="AL18" s="143"/>
      <c r="AM18" s="143"/>
      <c r="AN18" s="185"/>
      <c r="AO18" s="185"/>
      <c r="AP18" s="185"/>
      <c r="AQ18" s="185"/>
    </row>
    <row r="19" spans="1:43" ht="21.95" customHeight="1" thickTop="1" x14ac:dyDescent="0.25">
      <c r="A19" s="881"/>
      <c r="B19" s="908" t="s">
        <v>114</v>
      </c>
      <c r="C19" s="909"/>
      <c r="D19" s="272" t="s">
        <v>179</v>
      </c>
      <c r="E19" s="273"/>
      <c r="F19" s="273"/>
      <c r="G19" s="273"/>
      <c r="H19" s="274"/>
      <c r="I19" s="914">
        <f>IF(UPPER(S7)="İKF",Dizayn!$F$64,Dizayn!$G$64)</f>
        <v>2.371</v>
      </c>
      <c r="J19" s="915"/>
      <c r="K19" s="915"/>
      <c r="L19" s="916"/>
      <c r="M19" s="917" t="s">
        <v>115</v>
      </c>
      <c r="N19" s="918"/>
      <c r="O19" s="918"/>
      <c r="P19" s="918"/>
      <c r="Q19" s="918"/>
      <c r="R19" s="919"/>
      <c r="S19" s="917" t="s">
        <v>116</v>
      </c>
      <c r="T19" s="918"/>
      <c r="U19" s="918"/>
      <c r="V19" s="919"/>
      <c r="W19" s="917" t="s">
        <v>117</v>
      </c>
      <c r="X19" s="918"/>
      <c r="Y19" s="918"/>
      <c r="Z19" s="919"/>
      <c r="AH19" s="143"/>
      <c r="AI19" s="143"/>
      <c r="AJ19" s="143"/>
      <c r="AK19" s="143"/>
      <c r="AL19" s="143"/>
      <c r="AM19" s="143"/>
      <c r="AN19" s="185"/>
      <c r="AO19" s="185"/>
      <c r="AP19" s="185"/>
      <c r="AQ19" s="185"/>
    </row>
    <row r="20" spans="1:43" ht="21.95" customHeight="1" x14ac:dyDescent="0.25">
      <c r="A20" s="881"/>
      <c r="B20" s="910"/>
      <c r="C20" s="911"/>
      <c r="D20" s="46" t="s">
        <v>178</v>
      </c>
      <c r="E20" s="47"/>
      <c r="F20" s="47"/>
      <c r="G20" s="47"/>
      <c r="H20" s="268"/>
      <c r="I20" s="892">
        <f>Dizayn!F$69</f>
        <v>1175</v>
      </c>
      <c r="J20" s="893"/>
      <c r="K20" s="893"/>
      <c r="L20" s="894"/>
      <c r="M20" s="927" t="s">
        <v>118</v>
      </c>
      <c r="N20" s="928"/>
      <c r="O20" s="928"/>
      <c r="P20" s="929"/>
      <c r="Q20" s="895">
        <f>Dizayn!$F$54</f>
        <v>2.653</v>
      </c>
      <c r="R20" s="896"/>
      <c r="S20" s="897" t="str">
        <f>IF(Dizayn!$C$42="","",Dizayn!$C$42)</f>
        <v/>
      </c>
      <c r="T20" s="898"/>
      <c r="U20" s="898"/>
      <c r="V20" s="899"/>
      <c r="W20" s="892"/>
      <c r="X20" s="893"/>
      <c r="Y20" s="893"/>
      <c r="Z20" s="894"/>
      <c r="AH20" s="143"/>
      <c r="AI20" s="143"/>
      <c r="AJ20" s="143"/>
      <c r="AK20" s="143"/>
      <c r="AL20" s="143"/>
      <c r="AM20" s="143"/>
      <c r="AN20" s="185"/>
      <c r="AO20" s="185"/>
      <c r="AP20" s="185"/>
      <c r="AQ20" s="185"/>
    </row>
    <row r="21" spans="1:43" ht="21.95" customHeight="1" x14ac:dyDescent="0.25">
      <c r="A21" s="881"/>
      <c r="B21" s="910"/>
      <c r="C21" s="911"/>
      <c r="D21" s="46" t="s">
        <v>177</v>
      </c>
      <c r="E21" s="47"/>
      <c r="F21" s="47"/>
      <c r="G21" s="47"/>
      <c r="H21" s="268"/>
      <c r="I21" s="930">
        <f>Dizayn!$G$64</f>
        <v>2.371</v>
      </c>
      <c r="J21" s="1053"/>
      <c r="K21" s="1053"/>
      <c r="L21" s="931"/>
      <c r="M21" s="927" t="s">
        <v>119</v>
      </c>
      <c r="N21" s="928"/>
      <c r="O21" s="928"/>
      <c r="P21" s="929"/>
      <c r="Q21" s="895">
        <f>Dizayn!$F$56</f>
        <v>2.601</v>
      </c>
      <c r="R21" s="896"/>
      <c r="S21" s="897" t="str">
        <f>IF(Dizayn!$D$42="","",Dizayn!$D$42)</f>
        <v>1/2" - 1"</v>
      </c>
      <c r="T21" s="898"/>
      <c r="U21" s="898"/>
      <c r="V21" s="899"/>
      <c r="W21" s="892">
        <v>35</v>
      </c>
      <c r="X21" s="893"/>
      <c r="Y21" s="893"/>
      <c r="Z21" s="894"/>
      <c r="AH21" s="143"/>
      <c r="AI21" s="143"/>
      <c r="AJ21" s="143"/>
      <c r="AK21" s="143"/>
      <c r="AL21" s="143"/>
      <c r="AM21" s="143"/>
      <c r="AN21" s="185"/>
      <c r="AO21" s="185"/>
      <c r="AP21" s="185"/>
      <c r="AQ21" s="185"/>
    </row>
    <row r="22" spans="1:43" ht="21.95" customHeight="1" x14ac:dyDescent="0.25">
      <c r="A22" s="881"/>
      <c r="B22" s="910"/>
      <c r="C22" s="911"/>
      <c r="D22" s="46" t="s">
        <v>164</v>
      </c>
      <c r="E22" s="47"/>
      <c r="F22" s="47"/>
      <c r="G22" s="47"/>
      <c r="H22" s="268"/>
      <c r="I22" s="924">
        <f>Dizayn!$F$65</f>
        <v>4.3600000000000003</v>
      </c>
      <c r="J22" s="925"/>
      <c r="K22" s="925"/>
      <c r="L22" s="926"/>
      <c r="M22" s="927" t="s">
        <v>120</v>
      </c>
      <c r="N22" s="928"/>
      <c r="O22" s="928"/>
      <c r="P22" s="929"/>
      <c r="Q22" s="895">
        <f>Dizayn!$F$58</f>
        <v>2.6019999999999999</v>
      </c>
      <c r="R22" s="896"/>
      <c r="S22" s="897" t="str">
        <f>IF(Dizayn!$E$42="","",Dizayn!$E$42)</f>
        <v>No.4 - 1/2"</v>
      </c>
      <c r="T22" s="898"/>
      <c r="U22" s="898"/>
      <c r="V22" s="899"/>
      <c r="W22" s="892">
        <v>23</v>
      </c>
      <c r="X22" s="893"/>
      <c r="Y22" s="893"/>
      <c r="Z22" s="894"/>
    </row>
    <row r="23" spans="1:43" ht="21.95" customHeight="1" x14ac:dyDescent="0.25">
      <c r="A23" s="881"/>
      <c r="B23" s="910"/>
      <c r="C23" s="911"/>
      <c r="D23" s="46" t="s">
        <v>176</v>
      </c>
      <c r="E23" s="47"/>
      <c r="F23" s="47"/>
      <c r="G23" s="47"/>
      <c r="H23" s="268"/>
      <c r="I23" s="924">
        <f>Dizayn!$F$67</f>
        <v>66.69</v>
      </c>
      <c r="J23" s="925"/>
      <c r="K23" s="925"/>
      <c r="L23" s="926"/>
      <c r="M23" s="927" t="s">
        <v>121</v>
      </c>
      <c r="N23" s="928"/>
      <c r="O23" s="928"/>
      <c r="P23" s="929"/>
      <c r="Q23" s="930">
        <f>Dizayn!$F$60</f>
        <v>2.7210000000000001</v>
      </c>
      <c r="R23" s="931"/>
      <c r="S23" s="897" t="str">
        <f>IF(Dizayn!$F$42="","",Dizayn!$F$42)</f>
        <v>0 - No.4</v>
      </c>
      <c r="T23" s="898"/>
      <c r="U23" s="898"/>
      <c r="V23" s="899"/>
      <c r="W23" s="892">
        <v>42</v>
      </c>
      <c r="X23" s="893"/>
      <c r="Y23" s="893"/>
      <c r="Z23" s="894"/>
      <c r="AC23" s="146"/>
      <c r="AD23" s="143"/>
      <c r="AE23" s="143"/>
      <c r="AF23" s="143"/>
      <c r="AG23" s="143"/>
      <c r="AH23" s="143"/>
      <c r="AI23" s="143"/>
      <c r="AJ23" s="143"/>
    </row>
    <row r="24" spans="1:43" s="19" customFormat="1" ht="21.95" customHeight="1" thickBot="1" x14ac:dyDescent="0.3">
      <c r="A24" s="882"/>
      <c r="B24" s="912"/>
      <c r="C24" s="913"/>
      <c r="D24" s="294" t="s">
        <v>165</v>
      </c>
      <c r="E24" s="295"/>
      <c r="F24" s="295"/>
      <c r="G24" s="295"/>
      <c r="H24" s="296"/>
      <c r="I24" s="1032">
        <f>Dizayn!$F$68</f>
        <v>3.25</v>
      </c>
      <c r="J24" s="1033"/>
      <c r="K24" s="1033"/>
      <c r="L24" s="1034"/>
      <c r="M24" s="1054" t="s">
        <v>122</v>
      </c>
      <c r="N24" s="1055"/>
      <c r="O24" s="1055"/>
      <c r="P24" s="1056"/>
      <c r="Q24" s="1057">
        <f>Dizayn!$F$48</f>
        <v>2.6080000000000001</v>
      </c>
      <c r="R24" s="1058"/>
      <c r="S24" s="1050" t="s">
        <v>123</v>
      </c>
      <c r="T24" s="1051"/>
      <c r="U24" s="1051"/>
      <c r="V24" s="1052"/>
      <c r="W24" s="1032">
        <f>Dizayn!$F$53</f>
        <v>2.5</v>
      </c>
      <c r="X24" s="1033"/>
      <c r="Y24" s="1033"/>
      <c r="Z24" s="1034"/>
      <c r="AA24" s="146"/>
      <c r="AB24" s="146"/>
      <c r="AC24" s="146"/>
      <c r="AD24" s="142"/>
      <c r="AE24" s="142"/>
      <c r="AF24" s="227"/>
      <c r="AG24" s="142"/>
      <c r="AH24" s="142"/>
      <c r="AI24" s="142"/>
      <c r="AJ24" s="142"/>
      <c r="AK24" s="146"/>
      <c r="AL24" s="146"/>
      <c r="AM24" s="146"/>
    </row>
    <row r="25" spans="1:43" ht="33" customHeight="1" thickTop="1" thickBot="1" x14ac:dyDescent="0.3">
      <c r="A25" s="920" t="s">
        <v>124</v>
      </c>
      <c r="B25" s="921" t="s">
        <v>125</v>
      </c>
      <c r="C25" s="921" t="s">
        <v>126</v>
      </c>
      <c r="D25" s="49" t="s">
        <v>161</v>
      </c>
      <c r="E25" s="292" t="s">
        <v>163</v>
      </c>
      <c r="F25" s="49" t="s">
        <v>127</v>
      </c>
      <c r="G25" s="922" t="str">
        <f>Dizayn!$A$29&amp;"mm"&amp;CHAR(10)&amp;Dizayn!$B$29</f>
        <v>38,1mm
1 1/2"</v>
      </c>
      <c r="H25" s="923" t="s">
        <v>425</v>
      </c>
      <c r="I25" s="922" t="str">
        <f>Dizayn!$A$30&amp;"mm"&amp;CHAR(10)&amp;Dizayn!$B$30</f>
        <v>25,4mm
1"</v>
      </c>
      <c r="J25" s="923" t="str">
        <f>Dizayn!$A$30&amp;"mm"&amp;CHAR(10)&amp;Dizayn!$B$30</f>
        <v>25,4mm
1"</v>
      </c>
      <c r="K25" s="922" t="str">
        <f>Dizayn!$A$31&amp;"mm"&amp;CHAR(10)&amp;Dizayn!$B$31</f>
        <v>19,1mm
3/4"</v>
      </c>
      <c r="L25" s="923" t="str">
        <f>Dizayn!$A$31&amp;"mm"&amp;CHAR(10)&amp;Dizayn!$B$31</f>
        <v>19,1mm
3/4"</v>
      </c>
      <c r="M25" s="922" t="str">
        <f>Dizayn!$A$32&amp;"mm"&amp;CHAR(10)&amp;Dizayn!$B$32</f>
        <v>12,7mm
1/2"</v>
      </c>
      <c r="N25" s="923" t="str">
        <f>Dizayn!$A$32&amp;"mm"&amp;CHAR(10)&amp;Dizayn!$B$32</f>
        <v>12,7mm
1/2"</v>
      </c>
      <c r="O25" s="922" t="str">
        <f>Dizayn!$A$33&amp;"mm"&amp;CHAR(10)&amp;Dizayn!$B$33</f>
        <v>9,53mm
3/8"</v>
      </c>
      <c r="P25" s="923" t="str">
        <f>Dizayn!$A$33&amp;"mm"&amp;CHAR(10)&amp;Dizayn!$B$33</f>
        <v>9,53mm
3/8"</v>
      </c>
      <c r="Q25" s="922" t="str">
        <f>Dizayn!$A$34&amp;"mm"&amp;CHAR(10)&amp;Dizayn!$B$34</f>
        <v>4,75mm
No.4</v>
      </c>
      <c r="R25" s="923" t="str">
        <f>Dizayn!$A$34&amp;"mm"&amp;CHAR(10)&amp;Dizayn!$B$34</f>
        <v>4,75mm
No.4</v>
      </c>
      <c r="S25" s="922" t="str">
        <f>Dizayn!$A$35&amp;"mm"&amp;CHAR(10)&amp;Dizayn!$B$35</f>
        <v>2mm
No.10</v>
      </c>
      <c r="T25" s="923" t="str">
        <f>Dizayn!$A$35&amp;"mm"&amp;CHAR(10)&amp;Dizayn!$B$35</f>
        <v>2mm
No.10</v>
      </c>
      <c r="U25" s="922" t="str">
        <f>Dizayn!$A$36&amp;"mm"&amp;CHAR(10)&amp;Dizayn!$B$36</f>
        <v>0,425mm
No.40</v>
      </c>
      <c r="V25" s="923" t="str">
        <f>Dizayn!$A$36&amp;"mm"&amp;CHAR(10)&amp;Dizayn!$B$36</f>
        <v>0,425mm
No.40</v>
      </c>
      <c r="W25" s="922" t="str">
        <f>Dizayn!$A$37&amp;"mm"&amp;CHAR(10)&amp;Dizayn!$B$37</f>
        <v>0,18mm
No.80</v>
      </c>
      <c r="X25" s="923" t="str">
        <f>Dizayn!$A$37&amp;"mm"&amp;CHAR(10)&amp;Dizayn!$B$37</f>
        <v>0,18mm
No.80</v>
      </c>
      <c r="Y25" s="922" t="str">
        <f>Dizayn!$A$38&amp;"mm"&amp;CHAR(10)&amp;Dizayn!$B$38</f>
        <v>0,075mm
No.200</v>
      </c>
      <c r="Z25" s="923" t="str">
        <f>Dizayn!$A$38&amp;"mm"&amp;CHAR(10)&amp;Dizayn!$B$38</f>
        <v>0,075mm
No.200</v>
      </c>
      <c r="AC25" s="146"/>
      <c r="AD25" s="147"/>
      <c r="AE25" s="143"/>
      <c r="AF25" s="143"/>
      <c r="AG25" s="143"/>
      <c r="AH25" s="143"/>
      <c r="AI25" s="143"/>
      <c r="AJ25" s="143"/>
    </row>
    <row r="26" spans="1:43" ht="21.95" customHeight="1" thickTop="1" thickBot="1" x14ac:dyDescent="0.3">
      <c r="A26" s="920"/>
      <c r="B26" s="881"/>
      <c r="C26" s="881"/>
      <c r="D26" s="20">
        <f>IF(E26=0,0,1)</f>
        <v>0</v>
      </c>
      <c r="E26" s="21">
        <f>Dizayn!$C$41</f>
        <v>0</v>
      </c>
      <c r="F26" s="293">
        <f>'1 Sıcak Silo'!$G$12</f>
        <v>0</v>
      </c>
      <c r="G26" s="932">
        <f>'1 Sıcak Silo'!$G$15</f>
        <v>0</v>
      </c>
      <c r="H26" s="933">
        <v>0</v>
      </c>
      <c r="I26" s="932">
        <f>'1 Sıcak Silo'!$G$16</f>
        <v>0</v>
      </c>
      <c r="J26" s="933">
        <f>'1 Sıcak Silo'!$G$16</f>
        <v>0</v>
      </c>
      <c r="K26" s="932">
        <f>'1 Sıcak Silo'!$G$17</f>
        <v>0</v>
      </c>
      <c r="L26" s="933">
        <f>'1 Sıcak Silo'!$G$17</f>
        <v>0</v>
      </c>
      <c r="M26" s="932">
        <f>'1 Sıcak Silo'!$G$18</f>
        <v>0</v>
      </c>
      <c r="N26" s="933">
        <f>'1 Sıcak Silo'!$G$18</f>
        <v>0</v>
      </c>
      <c r="O26" s="932">
        <f>'1 Sıcak Silo'!$G$19</f>
        <v>0</v>
      </c>
      <c r="P26" s="933">
        <f>'1 Sıcak Silo'!$G$19</f>
        <v>0</v>
      </c>
      <c r="Q26" s="932">
        <f>'1 Sıcak Silo'!$G$20</f>
        <v>0</v>
      </c>
      <c r="R26" s="933">
        <f>'1 Sıcak Silo'!$G$20</f>
        <v>0</v>
      </c>
      <c r="S26" s="932">
        <f>'1 Sıcak Silo'!$G$21</f>
        <v>0</v>
      </c>
      <c r="T26" s="933">
        <f>'1 Sıcak Silo'!$G$21</f>
        <v>0</v>
      </c>
      <c r="U26" s="932">
        <f>'1 Sıcak Silo'!$G$22</f>
        <v>0</v>
      </c>
      <c r="V26" s="933">
        <f>'1 Sıcak Silo'!$G$22</f>
        <v>0</v>
      </c>
      <c r="W26" s="932">
        <f>'1 Sıcak Silo'!$G$23</f>
        <v>0</v>
      </c>
      <c r="X26" s="933">
        <f>'1 Sıcak Silo'!$G$23</f>
        <v>0</v>
      </c>
      <c r="Y26" s="932">
        <f>'1 Sıcak Silo'!$G$24</f>
        <v>0</v>
      </c>
      <c r="Z26" s="933">
        <f>'1 Sıcak Silo'!$G$24</f>
        <v>0</v>
      </c>
      <c r="AC26" s="146"/>
      <c r="AD26" s="147"/>
      <c r="AE26" s="147"/>
      <c r="AF26" s="147"/>
      <c r="AG26" s="147"/>
      <c r="AH26" s="147"/>
      <c r="AI26" s="147"/>
      <c r="AJ26" s="143"/>
    </row>
    <row r="27" spans="1:43" ht="21.95" customHeight="1" thickTop="1" thickBot="1" x14ac:dyDescent="0.3">
      <c r="A27" s="920"/>
      <c r="B27" s="881"/>
      <c r="C27" s="881"/>
      <c r="D27" s="20">
        <f>D26+1</f>
        <v>1</v>
      </c>
      <c r="E27" s="22" t="str">
        <f>Dizayn!D41</f>
        <v>12-25</v>
      </c>
      <c r="F27" s="293">
        <f>'1 Sıcak Silo'!$J$12</f>
        <v>39</v>
      </c>
      <c r="G27" s="932">
        <f>'1 Sıcak Silo'!$J$15</f>
        <v>100</v>
      </c>
      <c r="H27" s="933">
        <v>0</v>
      </c>
      <c r="I27" s="932">
        <f>'1 Sıcak Silo'!$J$16</f>
        <v>100</v>
      </c>
      <c r="J27" s="933">
        <f>'1 Sıcak Silo'!$J$16</f>
        <v>100</v>
      </c>
      <c r="K27" s="932">
        <f>'1 Sıcak Silo'!$J$17</f>
        <v>75.892722615639599</v>
      </c>
      <c r="L27" s="933">
        <f>'1 Sıcak Silo'!$J$17</f>
        <v>75.892722615639599</v>
      </c>
      <c r="M27" s="932">
        <f>'1 Sıcak Silo'!$J$18</f>
        <v>10.100949224047014</v>
      </c>
      <c r="N27" s="933">
        <f>'1 Sıcak Silo'!$J$18</f>
        <v>10.100949224047014</v>
      </c>
      <c r="O27" s="932">
        <f>'1 Sıcak Silo'!$J$19</f>
        <v>2.3986740997438574</v>
      </c>
      <c r="P27" s="933">
        <f>'1 Sıcak Silo'!$J$19</f>
        <v>2.3986740997438574</v>
      </c>
      <c r="Q27" s="932">
        <f>'1 Sıcak Silo'!$J$20</f>
        <v>1.2987795690824129</v>
      </c>
      <c r="R27" s="933">
        <f>'1 Sıcak Silo'!$J$20</f>
        <v>1.2987795690824129</v>
      </c>
      <c r="S27" s="932">
        <f>'1 Sıcak Silo'!$J$21</f>
        <v>0.19888503842096839</v>
      </c>
      <c r="T27" s="933">
        <f>'1 Sıcak Silo'!$J$21</f>
        <v>0.19888503842096839</v>
      </c>
      <c r="U27" s="932">
        <f>'1 Sıcak Silo'!$J$22</f>
        <v>9.9442519210484193E-2</v>
      </c>
      <c r="V27" s="933">
        <f>'1 Sıcak Silo'!$J$22</f>
        <v>9.9442519210484193E-2</v>
      </c>
      <c r="W27" s="932">
        <f>'1 Sıcak Silo'!$J$23</f>
        <v>0</v>
      </c>
      <c r="X27" s="933">
        <f>'1 Sıcak Silo'!$J$23</f>
        <v>0</v>
      </c>
      <c r="Y27" s="932">
        <f>'1 Sıcak Silo'!$J$24</f>
        <v>0</v>
      </c>
      <c r="Z27" s="933">
        <f>'1 Sıcak Silo'!$J$24</f>
        <v>0</v>
      </c>
      <c r="AC27" s="146"/>
      <c r="AD27" s="147"/>
      <c r="AE27" s="147"/>
      <c r="AF27" s="147"/>
      <c r="AG27" s="147"/>
      <c r="AH27" s="147"/>
      <c r="AI27" s="147"/>
      <c r="AJ27" s="143"/>
    </row>
    <row r="28" spans="1:43" ht="21.95" customHeight="1" thickTop="1" thickBot="1" x14ac:dyDescent="0.3">
      <c r="A28" s="920"/>
      <c r="B28" s="881"/>
      <c r="C28" s="881"/>
      <c r="D28" s="20">
        <f t="shared" ref="D28:D30" si="0">D27+1</f>
        <v>2</v>
      </c>
      <c r="E28" s="22" t="str">
        <f>Dizayn!E41</f>
        <v>5-12</v>
      </c>
      <c r="F28" s="293">
        <f>'1 Sıcak Silo'!$M$12</f>
        <v>21</v>
      </c>
      <c r="G28" s="932">
        <f>'1 Sıcak Silo'!$M$15</f>
        <v>100</v>
      </c>
      <c r="H28" s="933">
        <v>0</v>
      </c>
      <c r="I28" s="932">
        <f>'1 Sıcak Silo'!$M$16</f>
        <v>100</v>
      </c>
      <c r="J28" s="933">
        <f>'1 Sıcak Silo'!$M$16</f>
        <v>100</v>
      </c>
      <c r="K28" s="932">
        <f>'1 Sıcak Silo'!$M$17</f>
        <v>100</v>
      </c>
      <c r="L28" s="933">
        <f>'1 Sıcak Silo'!$M$17</f>
        <v>100</v>
      </c>
      <c r="M28" s="932">
        <f>'1 Sıcak Silo'!$M$18</f>
        <v>100</v>
      </c>
      <c r="N28" s="933">
        <f>'1 Sıcak Silo'!$M$18</f>
        <v>100</v>
      </c>
      <c r="O28" s="932">
        <f>'1 Sıcak Silo'!$M$19</f>
        <v>83.099044468945237</v>
      </c>
      <c r="P28" s="933">
        <f>'1 Sıcak Silo'!$M$19</f>
        <v>83.099044468945237</v>
      </c>
      <c r="Q28" s="932">
        <f>'1 Sıcak Silo'!$M$20</f>
        <v>13.299338478500559</v>
      </c>
      <c r="R28" s="933">
        <f>'1 Sıcak Silo'!$M$20</f>
        <v>13.299338478500559</v>
      </c>
      <c r="S28" s="932">
        <f>'1 Sıcak Silo'!$M$21</f>
        <v>4.5984932010290578</v>
      </c>
      <c r="T28" s="933">
        <f>'1 Sıcak Silo'!$M$21</f>
        <v>4.5984932010290578</v>
      </c>
      <c r="U28" s="932">
        <f>'1 Sıcak Silo'!$M$22</f>
        <v>2.3015435501653911</v>
      </c>
      <c r="V28" s="933">
        <f>'1 Sıcak Silo'!$M$22</f>
        <v>2.3015435501653911</v>
      </c>
      <c r="W28" s="932">
        <f>'1 Sıcak Silo'!$M$23</f>
        <v>0.90040426313856869</v>
      </c>
      <c r="X28" s="933">
        <f>'1 Sıcak Silo'!$M$23</f>
        <v>0.90040426313856869</v>
      </c>
      <c r="Y28" s="932">
        <f>'1 Sıcak Silo'!$M$24</f>
        <v>0.60180080852629203</v>
      </c>
      <c r="Z28" s="933">
        <f>'1 Sıcak Silo'!$M$24</f>
        <v>0.60180080852629203</v>
      </c>
      <c r="AC28" s="146"/>
      <c r="AD28" s="147"/>
      <c r="AE28" s="143"/>
      <c r="AF28" s="143"/>
      <c r="AG28" s="143"/>
      <c r="AH28" s="143"/>
      <c r="AI28" s="143"/>
      <c r="AJ28" s="143"/>
    </row>
    <row r="29" spans="1:43" ht="21.95" customHeight="1" thickTop="1" thickBot="1" x14ac:dyDescent="0.3">
      <c r="A29" s="920"/>
      <c r="B29" s="881"/>
      <c r="C29" s="881"/>
      <c r="D29" s="20">
        <f t="shared" si="0"/>
        <v>3</v>
      </c>
      <c r="E29" s="22" t="str">
        <f>Dizayn!F41</f>
        <v>0-5</v>
      </c>
      <c r="F29" s="293">
        <f>'1 Sıcak Silo'!$P$12</f>
        <v>36</v>
      </c>
      <c r="G29" s="932">
        <f>'1 Sıcak Silo'!$P$15</f>
        <v>100</v>
      </c>
      <c r="H29" s="933">
        <v>0</v>
      </c>
      <c r="I29" s="932">
        <f>'1 Sıcak Silo'!$P$16</f>
        <v>100</v>
      </c>
      <c r="J29" s="933">
        <f>'1 Sıcak Silo'!$P$16</f>
        <v>100</v>
      </c>
      <c r="K29" s="932">
        <f>'1 Sıcak Silo'!$P$17</f>
        <v>100</v>
      </c>
      <c r="L29" s="933">
        <f>'1 Sıcak Silo'!$P$17</f>
        <v>100</v>
      </c>
      <c r="M29" s="932">
        <f>'1 Sıcak Silo'!$P$18</f>
        <v>100</v>
      </c>
      <c r="N29" s="933">
        <f>'1 Sıcak Silo'!$P$18</f>
        <v>100</v>
      </c>
      <c r="O29" s="932">
        <f>'1 Sıcak Silo'!$P$19</f>
        <v>100</v>
      </c>
      <c r="P29" s="933">
        <f>'1 Sıcak Silo'!$P$19</f>
        <v>100</v>
      </c>
      <c r="Q29" s="932">
        <f>'1 Sıcak Silo'!$P$20</f>
        <v>97.102130325814542</v>
      </c>
      <c r="R29" s="933">
        <f>'1 Sıcak Silo'!$P$20</f>
        <v>97.102130325814542</v>
      </c>
      <c r="S29" s="932">
        <f>'1 Sıcak Silo'!$P$21</f>
        <v>59.500313283208015</v>
      </c>
      <c r="T29" s="933">
        <f>'1 Sıcak Silo'!$P$21</f>
        <v>59.500313283208015</v>
      </c>
      <c r="U29" s="932">
        <f>'1 Sıcak Silo'!$P$22</f>
        <v>22.297932330827066</v>
      </c>
      <c r="V29" s="933">
        <f>'1 Sıcak Silo'!$P$22</f>
        <v>22.297932330827066</v>
      </c>
      <c r="W29" s="932">
        <f>'1 Sıcak Silo'!$P$23</f>
        <v>12.296365914786961</v>
      </c>
      <c r="X29" s="933">
        <f>'1 Sıcak Silo'!$P$23</f>
        <v>12.296365914786961</v>
      </c>
      <c r="Y29" s="932">
        <f>'1 Sıcak Silo'!$P$24</f>
        <v>6.5006265664160452</v>
      </c>
      <c r="Z29" s="933">
        <f>'1 Sıcak Silo'!$P$24</f>
        <v>6.5006265664160452</v>
      </c>
      <c r="AC29" s="146"/>
      <c r="AD29" s="147"/>
      <c r="AE29" s="143"/>
      <c r="AF29" s="143"/>
      <c r="AG29" s="143"/>
      <c r="AH29" s="143"/>
      <c r="AI29" s="143"/>
      <c r="AJ29" s="143"/>
    </row>
    <row r="30" spans="1:43" ht="21.95" customHeight="1" thickTop="1" thickBot="1" x14ac:dyDescent="0.3">
      <c r="A30" s="920"/>
      <c r="B30" s="881"/>
      <c r="C30" s="882"/>
      <c r="D30" s="149">
        <f t="shared" si="0"/>
        <v>4</v>
      </c>
      <c r="E30" s="52" t="str">
        <f>Dizayn!G41</f>
        <v>Filler</v>
      </c>
      <c r="F30" s="53">
        <f>'1 Sıcak Silo'!$S$12</f>
        <v>4</v>
      </c>
      <c r="G30" s="939">
        <f>'1 Sıcak Silo'!$S$15</f>
        <v>100</v>
      </c>
      <c r="H30" s="940">
        <v>0</v>
      </c>
      <c r="I30" s="939">
        <f>'1 Sıcak Silo'!$S$16</f>
        <v>100</v>
      </c>
      <c r="J30" s="940">
        <f>'1 Sıcak Silo'!$S$16</f>
        <v>100</v>
      </c>
      <c r="K30" s="939">
        <f>'1 Sıcak Silo'!$S$17</f>
        <v>100</v>
      </c>
      <c r="L30" s="940">
        <f>'1 Sıcak Silo'!$S$17</f>
        <v>100</v>
      </c>
      <c r="M30" s="939">
        <f>'1 Sıcak Silo'!$S$18</f>
        <v>100</v>
      </c>
      <c r="N30" s="940">
        <f>'1 Sıcak Silo'!$S$18</f>
        <v>100</v>
      </c>
      <c r="O30" s="939">
        <f>'1 Sıcak Silo'!$S$19</f>
        <v>100</v>
      </c>
      <c r="P30" s="940">
        <f>'1 Sıcak Silo'!$S$19</f>
        <v>100</v>
      </c>
      <c r="Q30" s="939">
        <f>'1 Sıcak Silo'!$S$20</f>
        <v>100</v>
      </c>
      <c r="R30" s="940">
        <f>'1 Sıcak Silo'!$S$20</f>
        <v>100</v>
      </c>
      <c r="S30" s="939">
        <f>'1 Sıcak Silo'!$S$21</f>
        <v>100</v>
      </c>
      <c r="T30" s="940">
        <f>'1 Sıcak Silo'!$S$21</f>
        <v>100</v>
      </c>
      <c r="U30" s="939">
        <f>'1 Sıcak Silo'!$S$22</f>
        <v>98.5</v>
      </c>
      <c r="V30" s="940">
        <f>'1 Sıcak Silo'!$S$22</f>
        <v>98.5</v>
      </c>
      <c r="W30" s="939">
        <f>'1 Sıcak Silo'!$S$23</f>
        <v>93.5</v>
      </c>
      <c r="X30" s="940">
        <f>'1 Sıcak Silo'!$S$23</f>
        <v>93.5</v>
      </c>
      <c r="Y30" s="939">
        <f>'1 Sıcak Silo'!$S$24</f>
        <v>76.5</v>
      </c>
      <c r="Z30" s="940">
        <f>'1 Sıcak Silo'!$S$24</f>
        <v>76.5</v>
      </c>
      <c r="AC30" s="146"/>
      <c r="AD30" s="147"/>
      <c r="AE30" s="143"/>
      <c r="AF30" s="143"/>
      <c r="AG30" s="143"/>
      <c r="AH30" s="143"/>
      <c r="AI30" s="143"/>
      <c r="AJ30" s="143"/>
    </row>
    <row r="31" spans="1:43" ht="21.95" customHeight="1" thickTop="1" thickBot="1" x14ac:dyDescent="0.3">
      <c r="A31" s="920"/>
      <c r="B31" s="881"/>
      <c r="C31" s="934" t="s">
        <v>81</v>
      </c>
      <c r="D31" s="935"/>
      <c r="E31" s="935"/>
      <c r="F31" s="936"/>
      <c r="G31" s="878">
        <f ca="1">'1 Sıcak Silo'!$V$15</f>
        <v>100</v>
      </c>
      <c r="H31" s="880" t="str">
        <f ca="1">'1 Sıcak Silo'!$W$16&amp;'1 Sıcak Silo'!$V$16</f>
        <v>100</v>
      </c>
      <c r="I31" s="937">
        <f ca="1">'1 Sıcak Silo'!$V$16</f>
        <v>100</v>
      </c>
      <c r="J31" s="938" t="str">
        <f ca="1">'1 Sıcak Silo'!$W$16&amp;'1 Sıcak Silo'!$V$16</f>
        <v>100</v>
      </c>
      <c r="K31" s="937">
        <f ca="1">'1 Sıcak Silo'!$V$17</f>
        <v>90.6</v>
      </c>
      <c r="L31" s="938" t="str">
        <f ca="1">'1 Sıcak Silo'!$W$17&amp;'1 Sıcak Silo'!$V$17</f>
        <v>90,6</v>
      </c>
      <c r="M31" s="937">
        <f ca="1">'1 Sıcak Silo'!$V$18</f>
        <v>64.900000000000006</v>
      </c>
      <c r="N31" s="938" t="str">
        <f ca="1">'1 Sıcak Silo'!$W$18&amp;'1 Sıcak Silo'!$V$18</f>
        <v>64,9</v>
      </c>
      <c r="O31" s="937">
        <f ca="1">'1 Sıcak Silo'!$V$19</f>
        <v>58.4</v>
      </c>
      <c r="P31" s="938" t="str">
        <f ca="1">'1 Sıcak Silo'!$W$19&amp;'1 Sıcak Silo'!$V$19</f>
        <v>58,4</v>
      </c>
      <c r="Q31" s="937">
        <f ca="1">'1 Sıcak Silo'!$V$20</f>
        <v>42.3</v>
      </c>
      <c r="R31" s="938" t="str">
        <f ca="1">'1 Sıcak Silo'!$W$20&amp;'1 Sıcak Silo'!$V$20</f>
        <v>42,3</v>
      </c>
      <c r="S31" s="937">
        <f ca="1">'1 Sıcak Silo'!$V$21</f>
        <v>26.5</v>
      </c>
      <c r="T31" s="938" t="str">
        <f ca="1">'1 Sıcak Silo'!$W$21&amp;'1 Sıcak Silo'!$V$21</f>
        <v>26,5</v>
      </c>
      <c r="U31" s="937">
        <f ca="1">'1 Sıcak Silo'!$V$22</f>
        <v>12.5</v>
      </c>
      <c r="V31" s="938" t="str">
        <f ca="1">'1 Sıcak Silo'!$W$22&amp;'1 Sıcak Silo'!$V$22</f>
        <v>12,5</v>
      </c>
      <c r="W31" s="937">
        <f ca="1">'1 Sıcak Silo'!$V$23</f>
        <v>8.4</v>
      </c>
      <c r="X31" s="938" t="str">
        <f ca="1">'1 Sıcak Silo'!$W$23&amp;'1 Sıcak Silo'!$V$23</f>
        <v>8,4</v>
      </c>
      <c r="Y31" s="937">
        <f ca="1">'1 Sıcak Silo'!$V$24</f>
        <v>5.5</v>
      </c>
      <c r="Z31" s="938" t="str">
        <f ca="1">'1 Sıcak Silo'!$W$24&amp;'1 Sıcak Silo'!$V$24</f>
        <v>5,5</v>
      </c>
      <c r="AC31" s="146"/>
      <c r="AD31" s="147"/>
      <c r="AE31" s="143"/>
      <c r="AF31" s="143"/>
      <c r="AG31" s="143"/>
      <c r="AH31" s="143"/>
      <c r="AI31" s="143"/>
      <c r="AJ31" s="143"/>
    </row>
    <row r="32" spans="1:43" ht="21.95" customHeight="1" thickTop="1" thickBot="1" x14ac:dyDescent="0.3">
      <c r="A32" s="920"/>
      <c r="B32" s="881"/>
      <c r="C32" s="945" t="s">
        <v>128</v>
      </c>
      <c r="D32" s="946"/>
      <c r="E32" s="946"/>
      <c r="F32" s="947"/>
      <c r="G32" s="941">
        <f ca="1">'2 Malaksör'!$Q$14</f>
        <v>100</v>
      </c>
      <c r="H32" s="942" t="e">
        <f ca="1">'2 Malaksör'!#REF!&amp;'2 Malaksör'!$Q$14</f>
        <v>#REF!</v>
      </c>
      <c r="I32" s="941">
        <f ca="1">'2 Malaksör'!$Q$15</f>
        <v>100</v>
      </c>
      <c r="J32" s="942" t="e">
        <f ca="1">'2 Malaksör'!#REF!&amp;'2 Malaksör'!$Q$15</f>
        <v>#REF!</v>
      </c>
      <c r="K32" s="941">
        <f ca="1">'2 Malaksör'!$Q$16</f>
        <v>90.1</v>
      </c>
      <c r="L32" s="942" t="e">
        <f ca="1">'2 Malaksör'!#REF!&amp;'2 Malaksör'!$Q$16</f>
        <v>#REF!</v>
      </c>
      <c r="M32" s="941">
        <f ca="1">'2 Malaksör'!$Q$17</f>
        <v>66.099999999999994</v>
      </c>
      <c r="N32" s="942" t="e">
        <f ca="1">'2 Malaksör'!#REF!&amp;'2 Malaksör'!$Q$17</f>
        <v>#REF!</v>
      </c>
      <c r="O32" s="941" t="str">
        <f ca="1">'2 Malaksör'!$Q$18</f>
        <v>55,1X</v>
      </c>
      <c r="P32" s="942" t="e">
        <f ca="1">'2 Malaksör'!#REF!&amp;'2 Malaksör'!$Q$18</f>
        <v>#REF!</v>
      </c>
      <c r="Q32" s="941">
        <f ca="1">'2 Malaksör'!$Q$19</f>
        <v>45.2</v>
      </c>
      <c r="R32" s="942" t="e">
        <f ca="1">'2 Malaksör'!#REF!&amp;'2 Malaksör'!$Q$19</f>
        <v>#REF!</v>
      </c>
      <c r="S32" s="948">
        <f ca="1">'2 Malaksör'!$Q$20</f>
        <v>27</v>
      </c>
      <c r="T32" s="949" t="e">
        <f ca="1">'2 Malaksör'!#REF!&amp;'2 Malaksör'!$Q$20</f>
        <v>#REF!</v>
      </c>
      <c r="U32" s="941">
        <f ca="1">'2 Malaksör'!$Q$21</f>
        <v>11.3</v>
      </c>
      <c r="V32" s="942" t="e">
        <f ca="1">'2 Malaksör'!#REF!&amp;'2 Malaksör'!$Q$21</f>
        <v>#REF!</v>
      </c>
      <c r="W32" s="941">
        <f ca="1">'2 Malaksör'!$Q$22</f>
        <v>8</v>
      </c>
      <c r="X32" s="942" t="e">
        <f ca="1">'2 Malaksör'!#REF!&amp;'2 Malaksör'!$Q$22</f>
        <v>#REF!</v>
      </c>
      <c r="Y32" s="941">
        <f ca="1">'2 Malaksör'!$Q$23</f>
        <v>5.7</v>
      </c>
      <c r="Z32" s="942" t="e">
        <f ca="1">'2 Malaksör'!#REF!&amp;'2 Malaksör'!$Q$23</f>
        <v>#REF!</v>
      </c>
      <c r="AB32" s="145"/>
      <c r="AC32" s="146"/>
      <c r="AH32" s="143"/>
      <c r="AJ32" s="143"/>
    </row>
    <row r="33" spans="1:41" ht="21.95" customHeight="1" thickTop="1" thickBot="1" x14ac:dyDescent="0.3">
      <c r="A33" s="920"/>
      <c r="B33" s="882"/>
      <c r="C33" s="950" t="s">
        <v>129</v>
      </c>
      <c r="D33" s="951"/>
      <c r="E33" s="951"/>
      <c r="F33" s="952"/>
      <c r="G33" s="943">
        <f>Dizayn!$G$29</f>
        <v>100</v>
      </c>
      <c r="H33" s="944"/>
      <c r="I33" s="943">
        <f>Dizayn!$G$30</f>
        <v>100</v>
      </c>
      <c r="J33" s="944"/>
      <c r="K33" s="943">
        <f>Dizayn!$G$31</f>
        <v>89.5</v>
      </c>
      <c r="L33" s="944"/>
      <c r="M33" s="943">
        <f>Dizayn!$G$32</f>
        <v>67.599999999999994</v>
      </c>
      <c r="N33" s="944"/>
      <c r="O33" s="943">
        <f>Dizayn!$G$33</f>
        <v>60.5</v>
      </c>
      <c r="P33" s="944"/>
      <c r="Q33" s="943">
        <f>Dizayn!$G$34</f>
        <v>42.6</v>
      </c>
      <c r="R33" s="944"/>
      <c r="S33" s="943">
        <f>Dizayn!$G$35</f>
        <v>27.5</v>
      </c>
      <c r="T33" s="944"/>
      <c r="U33" s="943">
        <f>Dizayn!$G$36</f>
        <v>12.9</v>
      </c>
      <c r="V33" s="944"/>
      <c r="W33" s="943">
        <f>Dizayn!$G$37</f>
        <v>8.8000000000000007</v>
      </c>
      <c r="X33" s="944"/>
      <c r="Y33" s="943">
        <f>Dizayn!$G$38</f>
        <v>5.25</v>
      </c>
      <c r="Z33" s="944"/>
      <c r="AB33" s="145"/>
      <c r="AG33" s="143"/>
      <c r="AH33" s="143"/>
      <c r="AI33" s="145"/>
      <c r="AJ33" s="143"/>
    </row>
    <row r="34" spans="1:41" ht="21.95" customHeight="1" thickTop="1" thickBot="1" x14ac:dyDescent="0.3">
      <c r="A34" s="920"/>
      <c r="B34" s="910" t="s">
        <v>130</v>
      </c>
      <c r="C34" s="911"/>
      <c r="D34" s="872" t="s">
        <v>131</v>
      </c>
      <c r="E34" s="873"/>
      <c r="F34" s="874"/>
      <c r="G34" s="50">
        <v>0.20833333333333334</v>
      </c>
      <c r="H34" s="50">
        <v>0.25</v>
      </c>
      <c r="I34" s="50">
        <v>0.29166666666666702</v>
      </c>
      <c r="J34" s="50">
        <v>0.33333333333333298</v>
      </c>
      <c r="K34" s="50">
        <v>0.375</v>
      </c>
      <c r="L34" s="50">
        <v>0.41666666666666602</v>
      </c>
      <c r="M34" s="50">
        <v>0.45833333333333298</v>
      </c>
      <c r="N34" s="50">
        <v>0.5</v>
      </c>
      <c r="O34" s="50">
        <v>0.54166666666666596</v>
      </c>
      <c r="P34" s="50">
        <v>0.58333333333333304</v>
      </c>
      <c r="Q34" s="50">
        <v>0.625</v>
      </c>
      <c r="R34" s="50">
        <v>0.66666666666666596</v>
      </c>
      <c r="S34" s="50">
        <v>0.70833333333333304</v>
      </c>
      <c r="T34" s="50">
        <v>0.75</v>
      </c>
      <c r="U34" s="50">
        <v>0.79166666666666596</v>
      </c>
      <c r="V34" s="50">
        <v>0.83333333333333304</v>
      </c>
      <c r="W34" s="50">
        <v>0.875</v>
      </c>
      <c r="X34" s="50">
        <v>0.91666666666666596</v>
      </c>
      <c r="Y34" s="50">
        <v>0.95833333333333304</v>
      </c>
      <c r="Z34" s="50">
        <v>1</v>
      </c>
      <c r="AB34" s="145"/>
      <c r="AN34" s="144"/>
      <c r="AO34" s="144"/>
    </row>
    <row r="35" spans="1:41" ht="21.95" customHeight="1" thickTop="1" thickBot="1" x14ac:dyDescent="0.3">
      <c r="A35" s="920"/>
      <c r="B35" s="910"/>
      <c r="C35" s="911"/>
      <c r="D35" s="953" t="s">
        <v>132</v>
      </c>
      <c r="E35" s="954"/>
      <c r="F35" s="955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B35" s="145"/>
      <c r="AG35" s="143"/>
      <c r="AH35" s="143"/>
      <c r="AJ35" s="143"/>
    </row>
    <row r="36" spans="1:41" ht="21.95" customHeight="1" thickTop="1" thickBot="1" x14ac:dyDescent="0.3">
      <c r="A36" s="920"/>
      <c r="B36" s="910"/>
      <c r="C36" s="911"/>
      <c r="D36" s="953" t="s">
        <v>133</v>
      </c>
      <c r="E36" s="954"/>
      <c r="F36" s="955"/>
      <c r="G36" s="193"/>
      <c r="H36" s="193"/>
      <c r="I36" s="193"/>
      <c r="J36" s="193"/>
      <c r="K36" s="193"/>
      <c r="L36" s="193"/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B36" s="145"/>
      <c r="AG36" s="143"/>
      <c r="AH36" s="143"/>
      <c r="AJ36" s="143"/>
    </row>
    <row r="37" spans="1:41" ht="21.95" customHeight="1" thickTop="1" thickBot="1" x14ac:dyDescent="0.3">
      <c r="A37" s="920"/>
      <c r="B37" s="912"/>
      <c r="C37" s="913"/>
      <c r="D37" s="956" t="s">
        <v>134</v>
      </c>
      <c r="E37" s="957"/>
      <c r="F37" s="958"/>
      <c r="G37" s="29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B37" s="145"/>
      <c r="AG37" s="143"/>
      <c r="AH37" s="143"/>
      <c r="AJ37" s="143"/>
    </row>
    <row r="38" spans="1:41" ht="33" customHeight="1" thickTop="1" thickBot="1" x14ac:dyDescent="0.3">
      <c r="A38" s="920" t="s">
        <v>180</v>
      </c>
      <c r="B38" s="983" t="s">
        <v>136</v>
      </c>
      <c r="C38" s="969" t="s">
        <v>137</v>
      </c>
      <c r="D38" s="970"/>
      <c r="E38" s="970"/>
      <c r="F38" s="971"/>
      <c r="G38" s="922" t="s">
        <v>166</v>
      </c>
      <c r="H38" s="923"/>
      <c r="I38" s="922" t="s">
        <v>138</v>
      </c>
      <c r="J38" s="923"/>
      <c r="K38" s="922" t="s">
        <v>170</v>
      </c>
      <c r="L38" s="923"/>
      <c r="M38" s="922" t="s">
        <v>171</v>
      </c>
      <c r="N38" s="923"/>
      <c r="O38" s="922" t="s">
        <v>175</v>
      </c>
      <c r="P38" s="923"/>
      <c r="Q38" s="922" t="s">
        <v>164</v>
      </c>
      <c r="R38" s="923"/>
      <c r="S38" s="917" t="s">
        <v>150</v>
      </c>
      <c r="T38" s="919"/>
      <c r="U38" s="922" t="s">
        <v>380</v>
      </c>
      <c r="V38" s="923"/>
      <c r="W38" s="922" t="s">
        <v>165</v>
      </c>
      <c r="X38" s="923"/>
      <c r="Y38" s="922" t="s">
        <v>232</v>
      </c>
      <c r="Z38" s="923"/>
      <c r="AA38" s="148"/>
      <c r="AB38" s="145"/>
      <c r="AG38" s="143"/>
      <c r="AH38" s="143"/>
      <c r="AI38" s="143"/>
      <c r="AJ38" s="143"/>
    </row>
    <row r="39" spans="1:41" ht="24.95" customHeight="1" thickTop="1" thickBot="1" x14ac:dyDescent="0.3">
      <c r="A39" s="920"/>
      <c r="B39" s="984"/>
      <c r="C39" s="967"/>
      <c r="D39" s="972"/>
      <c r="E39" s="972"/>
      <c r="F39" s="968"/>
      <c r="G39" s="959" t="s">
        <v>159</v>
      </c>
      <c r="H39" s="959"/>
      <c r="I39" s="960">
        <v>0.36805555555555558</v>
      </c>
      <c r="J39" s="960"/>
      <c r="K39" s="961">
        <f>IFERROR(AVERAGE('3 Marshall'!$B$14:$B$33),"")</f>
        <v>150</v>
      </c>
      <c r="L39" s="962"/>
      <c r="M39" s="963">
        <f ca="1">IFERROR(AVERAGE('3 Marshall'!$J$37,'3 Marshall'!$M$37),"")</f>
        <v>2.3713350759730751</v>
      </c>
      <c r="N39" s="963"/>
      <c r="O39" s="963">
        <f ca="1">IFERROR(AVERAGE('3 Marshall'!$J$38,'3 Marshall'!$M$38),"")</f>
        <v>2.4785817200658125</v>
      </c>
      <c r="P39" s="963"/>
      <c r="Q39" s="964">
        <f ca="1">IFERROR(AVERAGE('3 Marshall'!$J$39,'3 Marshall'!$M$39),"")</f>
        <v>4.3269359740896363</v>
      </c>
      <c r="R39" s="964"/>
      <c r="S39" s="964">
        <f ca="1">IFERROR(AVERAGE('3 Marshall'!$J$40,'3 Marshall'!$M$40),"")</f>
        <v>13.071151363907902</v>
      </c>
      <c r="T39" s="964"/>
      <c r="U39" s="964">
        <f ca="1">IFERROR(AVERAGE('3 Marshall'!$J$41,'3 Marshall'!$M$41),"")</f>
        <v>66.897055556734017</v>
      </c>
      <c r="V39" s="964"/>
      <c r="W39" s="964">
        <f ca="1">IFERROR(AVERAGE('3 Marshall'!$J$42,'3 Marshall'!$M$42),"")</f>
        <v>3.25</v>
      </c>
      <c r="X39" s="964"/>
      <c r="Y39" s="961">
        <f ca="1">IFERROR(AVERAGE('3 Marshall'!$J$43,'3 Marshall'!$M$43),"")</f>
        <v>1165.164</v>
      </c>
      <c r="Z39" s="961"/>
      <c r="AB39" s="145"/>
      <c r="AG39" s="143"/>
      <c r="AH39" s="143"/>
      <c r="AI39" s="143"/>
      <c r="AJ39" s="143"/>
    </row>
    <row r="40" spans="1:41" ht="33" customHeight="1" thickTop="1" thickBot="1" x14ac:dyDescent="0.3">
      <c r="A40" s="920"/>
      <c r="B40" s="984"/>
      <c r="C40" s="965" t="s">
        <v>409</v>
      </c>
      <c r="D40" s="966"/>
      <c r="E40" s="965" t="s">
        <v>410</v>
      </c>
      <c r="F40" s="966"/>
      <c r="G40" s="967" t="str">
        <f>Dizayn!$A$29&amp;"mm"&amp;CHAR(10)&amp;Dizayn!$B$29</f>
        <v>38,1mm
1 1/2"</v>
      </c>
      <c r="H40" s="968" t="str">
        <f>Dizayn!$A$29&amp;"mm"&amp;CHAR(10)&amp;Dizayn!$B$29</f>
        <v>38,1mm
1 1/2"</v>
      </c>
      <c r="I40" s="967" t="str">
        <f>Dizayn!$A$30&amp;"mm"&amp;CHAR(10)&amp;Dizayn!$B$30</f>
        <v>25,4mm
1"</v>
      </c>
      <c r="J40" s="968" t="str">
        <f>Dizayn!$A$30&amp;"mm"&amp;CHAR(10)&amp;Dizayn!$B$30</f>
        <v>25,4mm
1"</v>
      </c>
      <c r="K40" s="967" t="str">
        <f>Dizayn!$A$31&amp;"mm"&amp;CHAR(10)&amp;Dizayn!$B$31</f>
        <v>19,1mm
3/4"</v>
      </c>
      <c r="L40" s="968" t="str">
        <f>Dizayn!$A$31&amp;"mm"&amp;CHAR(10)&amp;Dizayn!$B$31</f>
        <v>19,1mm
3/4"</v>
      </c>
      <c r="M40" s="967" t="str">
        <f>Dizayn!$A$32&amp;"mm"&amp;CHAR(10)&amp;Dizayn!$B$32</f>
        <v>12,7mm
1/2"</v>
      </c>
      <c r="N40" s="968" t="str">
        <f>Dizayn!$A$32&amp;"mm"&amp;CHAR(10)&amp;Dizayn!$B$32</f>
        <v>12,7mm
1/2"</v>
      </c>
      <c r="O40" s="967" t="str">
        <f>Dizayn!$A$33&amp;"mm"&amp;CHAR(10)&amp;Dizayn!$B$33</f>
        <v>9,53mm
3/8"</v>
      </c>
      <c r="P40" s="968" t="str">
        <f>Dizayn!$A$33&amp;"mm"&amp;CHAR(10)&amp;Dizayn!$B$33</f>
        <v>9,53mm
3/8"</v>
      </c>
      <c r="Q40" s="967" t="str">
        <f>Dizayn!$A$34&amp;"mm"&amp;CHAR(10)&amp;Dizayn!$B$34</f>
        <v>4,75mm
No.4</v>
      </c>
      <c r="R40" s="968" t="str">
        <f>Dizayn!$A$34&amp;"mm"&amp;CHAR(10)&amp;Dizayn!$B$34</f>
        <v>4,75mm
No.4</v>
      </c>
      <c r="S40" s="967" t="str">
        <f>Dizayn!$A$35&amp;"mm"&amp;CHAR(10)&amp;Dizayn!$B$35</f>
        <v>2mm
No.10</v>
      </c>
      <c r="T40" s="968" t="str">
        <f>Dizayn!$A$35&amp;"mm"&amp;CHAR(10)&amp;Dizayn!$B$35</f>
        <v>2mm
No.10</v>
      </c>
      <c r="U40" s="967" t="str">
        <f>Dizayn!$A$36&amp;"mm"&amp;CHAR(10)&amp;Dizayn!$B$36</f>
        <v>0,425mm
No.40</v>
      </c>
      <c r="V40" s="968" t="str">
        <f>Dizayn!$A$36&amp;"mm"&amp;CHAR(10)&amp;Dizayn!$B$36</f>
        <v>0,425mm
No.40</v>
      </c>
      <c r="W40" s="967" t="str">
        <f>Dizayn!$A$37&amp;"mm"&amp;CHAR(10)&amp;Dizayn!$B$37</f>
        <v>0,18mm
No.80</v>
      </c>
      <c r="X40" s="968" t="str">
        <f>Dizayn!$A$37&amp;"mm"&amp;CHAR(10)&amp;Dizayn!$B$37</f>
        <v>0,18mm
No.80</v>
      </c>
      <c r="Y40" s="967" t="str">
        <f>Dizayn!$A$38&amp;"mm"&amp;CHAR(10)&amp;Dizayn!$B$38</f>
        <v>0,075mm
No.200</v>
      </c>
      <c r="Z40" s="968" t="str">
        <f>Dizayn!$A$38&amp;"mm"&amp;CHAR(10)&amp;Dizayn!$B$38</f>
        <v>0,075mm
No.200</v>
      </c>
      <c r="AB40" s="145"/>
      <c r="AG40" s="143"/>
      <c r="AH40" s="143"/>
      <c r="AI40" s="143"/>
      <c r="AJ40" s="143"/>
    </row>
    <row r="41" spans="1:41" ht="18.75" customHeight="1" thickTop="1" thickBot="1" x14ac:dyDescent="0.3">
      <c r="A41" s="920"/>
      <c r="B41" s="984"/>
      <c r="C41" s="973">
        <f ca="1">AVERAGE('3 Ekstrasyon'!$AE$20,'3 Ekstrasyon'!$BM$20)</f>
        <v>4.5975255842370411</v>
      </c>
      <c r="D41" s="973"/>
      <c r="E41" s="974">
        <f>AVERAGE('3 Ekstrasyon'!$AE$22,'3 Ekstrasyon'!$BM$22)</f>
        <v>4.3954439252336313</v>
      </c>
      <c r="F41" s="974"/>
      <c r="G41" s="875">
        <f ca="1">'3 Ekstrasyon'!$I$14</f>
        <v>100</v>
      </c>
      <c r="H41" s="877" t="e">
        <f ca="1">'3 Ekstrasyon'!#REF!&amp;'3 Ekstrasyon'!$I$14</f>
        <v>#REF!</v>
      </c>
      <c r="I41" s="875">
        <f ca="1">'3 Ekstrasyon'!$I$15</f>
        <v>100</v>
      </c>
      <c r="J41" s="877" t="e">
        <f ca="1">'3 Ekstrasyon'!#REF!&amp;'3 Ekstrasyon'!$I$15</f>
        <v>#REF!</v>
      </c>
      <c r="K41" s="875">
        <f ca="1">'3 Ekstrasyon'!$I$16</f>
        <v>92</v>
      </c>
      <c r="L41" s="877" t="e">
        <f ca="1">'3 Ekstrasyon'!#REF!&amp;'3 Ekstrasyon'!$I$16</f>
        <v>#REF!</v>
      </c>
      <c r="M41" s="875">
        <f ca="1">'3 Ekstrasyon'!$I$17</f>
        <v>68.599999999999994</v>
      </c>
      <c r="N41" s="877" t="e">
        <f ca="1">'3 Ekstrasyon'!#REF!&amp;'3 Ekstrasyon'!$I$17</f>
        <v>#REF!</v>
      </c>
      <c r="O41" s="875">
        <f ca="1">'3 Ekstrasyon'!$I$18</f>
        <v>62.6</v>
      </c>
      <c r="P41" s="877" t="e">
        <f ca="1">'3 Ekstrasyon'!#REF!&amp;'3 Ekstrasyon'!$I$18</f>
        <v>#REF!</v>
      </c>
      <c r="Q41" s="875">
        <f ca="1">'3 Ekstrasyon'!$I$19</f>
        <v>45</v>
      </c>
      <c r="R41" s="877" t="e">
        <f ca="1">'3 Ekstrasyon'!#REF!&amp;'3 Ekstrasyon'!$I$19</f>
        <v>#REF!</v>
      </c>
      <c r="S41" s="875">
        <f ca="1">'3 Ekstrasyon'!$I$20</f>
        <v>29.8</v>
      </c>
      <c r="T41" s="877" t="e">
        <f ca="1">'3 Ekstrasyon'!#REF!&amp;'3 Ekstrasyon'!$I$20</f>
        <v>#REF!</v>
      </c>
      <c r="U41" s="875">
        <f ca="1">'3 Ekstrasyon'!$I$21</f>
        <v>13.4</v>
      </c>
      <c r="V41" s="877" t="e">
        <f ca="1">'3 Ekstrasyon'!#REF!&amp;'3 Ekstrasyon'!$I$21</f>
        <v>#REF!</v>
      </c>
      <c r="W41" s="875">
        <f ca="1">'3 Ekstrasyon'!$I$22</f>
        <v>8.9</v>
      </c>
      <c r="X41" s="877" t="e">
        <f ca="1">'3 Ekstrasyon'!#REF!&amp;'3 Ekstrasyon'!$I$22</f>
        <v>#REF!</v>
      </c>
      <c r="Y41" s="875">
        <f ca="1">'3 Ekstrasyon'!$I$23</f>
        <v>6.2</v>
      </c>
      <c r="Z41" s="877" t="e">
        <f ca="1">'3 Ekstrasyon'!#REF!&amp;'3 Ekstrasyon'!$I$23</f>
        <v>#REF!</v>
      </c>
      <c r="AB41" s="145"/>
    </row>
    <row r="42" spans="1:41" ht="18.75" customHeight="1" thickTop="1" thickBot="1" x14ac:dyDescent="0.3">
      <c r="A42" s="920"/>
      <c r="B42" s="984"/>
      <c r="C42" s="973"/>
      <c r="D42" s="973"/>
      <c r="E42" s="974"/>
      <c r="F42" s="974"/>
      <c r="G42" s="875">
        <f ca="1">'3 Ekstrasyon'!$AQ$14</f>
        <v>100</v>
      </c>
      <c r="H42" s="877" t="e">
        <f ca="1">'3 Ekstrasyon'!#REF!&amp;'3 Ekstrasyon'!$I$14</f>
        <v>#REF!</v>
      </c>
      <c r="I42" s="875">
        <f ca="1">'3 Ekstrasyon'!$AQ$15</f>
        <v>100</v>
      </c>
      <c r="J42" s="877" t="e">
        <f ca="1">'3 Ekstrasyon'!#REF!&amp;'3 Ekstrasyon'!$I$15</f>
        <v>#REF!</v>
      </c>
      <c r="K42" s="875">
        <f ca="1">'3 Ekstrasyon'!$AQ$16</f>
        <v>92</v>
      </c>
      <c r="L42" s="877" t="e">
        <f ca="1">'3 Ekstrasyon'!#REF!&amp;'3 Ekstrasyon'!$I$16</f>
        <v>#REF!</v>
      </c>
      <c r="M42" s="875">
        <f ca="1">'3 Ekstrasyon'!$AQ$17</f>
        <v>67.900000000000006</v>
      </c>
      <c r="N42" s="877" t="e">
        <f ca="1">'3 Ekstrasyon'!#REF!&amp;'3 Ekstrasyon'!$I$17</f>
        <v>#REF!</v>
      </c>
      <c r="O42" s="875">
        <f ca="1">'3 Ekstrasyon'!$AQ$18</f>
        <v>62.6</v>
      </c>
      <c r="P42" s="877" t="e">
        <f ca="1">'3 Ekstrasyon'!#REF!&amp;'3 Ekstrasyon'!$I$18</f>
        <v>#REF!</v>
      </c>
      <c r="Q42" s="875">
        <f ca="1">'3 Ekstrasyon'!$AQ$19</f>
        <v>40.4</v>
      </c>
      <c r="R42" s="877" t="e">
        <f ca="1">'3 Ekstrasyon'!#REF!&amp;'3 Ekstrasyon'!$I$19</f>
        <v>#REF!</v>
      </c>
      <c r="S42" s="875">
        <f ca="1">'3 Ekstrasyon'!$AQ$20</f>
        <v>29.8</v>
      </c>
      <c r="T42" s="877" t="e">
        <f ca="1">'3 Ekstrasyon'!#REF!&amp;'3 Ekstrasyon'!$I$20</f>
        <v>#REF!</v>
      </c>
      <c r="U42" s="875" t="str">
        <f ca="1">'3 Ekstrasyon'!$AQ$21</f>
        <v>8,4X</v>
      </c>
      <c r="V42" s="877" t="e">
        <f ca="1">'3 Ekstrasyon'!#REF!&amp;'3 Ekstrasyon'!$I$21</f>
        <v>#REF!</v>
      </c>
      <c r="W42" s="875">
        <f ca="1">'3 Ekstrasyon'!$AQ$22</f>
        <v>8.9</v>
      </c>
      <c r="X42" s="877" t="e">
        <f ca="1">'3 Ekstrasyon'!#REF!&amp;'3 Ekstrasyon'!$I$22</f>
        <v>#REF!</v>
      </c>
      <c r="Y42" s="875">
        <f ca="1">'3 Ekstrasyon'!$AQ$23</f>
        <v>6.2</v>
      </c>
      <c r="Z42" s="877" t="e">
        <f ca="1">'3 Ekstrasyon'!#REF!&amp;'3 Ekstrasyon'!$I$23</f>
        <v>#REF!</v>
      </c>
      <c r="AB42" s="145"/>
    </row>
    <row r="43" spans="1:41" ht="21.95" customHeight="1" thickTop="1" thickBot="1" x14ac:dyDescent="0.3">
      <c r="A43" s="920"/>
      <c r="B43" s="975" t="s">
        <v>139</v>
      </c>
      <c r="C43" s="975"/>
      <c r="D43" s="975"/>
      <c r="E43" s="975"/>
      <c r="F43" s="975"/>
      <c r="G43" s="982" t="s">
        <v>158</v>
      </c>
      <c r="H43" s="982"/>
      <c r="I43" s="982"/>
      <c r="J43" s="982"/>
      <c r="K43" s="982"/>
      <c r="L43" s="982"/>
      <c r="M43" s="982" t="s">
        <v>160</v>
      </c>
      <c r="N43" s="982"/>
      <c r="O43" s="982"/>
      <c r="P43" s="982"/>
      <c r="Q43" s="982"/>
      <c r="R43" s="982" t="s">
        <v>140</v>
      </c>
      <c r="S43" s="982"/>
      <c r="T43" s="982"/>
      <c r="U43" s="982"/>
      <c r="V43" s="982"/>
      <c r="W43" s="982" t="s">
        <v>141</v>
      </c>
      <c r="X43" s="982"/>
      <c r="Y43" s="982"/>
      <c r="Z43" s="982"/>
    </row>
    <row r="44" spans="1:41" ht="21.95" customHeight="1" thickTop="1" thickBot="1" x14ac:dyDescent="0.3">
      <c r="A44" s="920"/>
      <c r="B44" s="975" t="s">
        <v>142</v>
      </c>
      <c r="C44" s="975"/>
      <c r="D44" s="953" t="s">
        <v>143</v>
      </c>
      <c r="E44" s="954"/>
      <c r="F44" s="955"/>
      <c r="G44" s="976" t="s">
        <v>162</v>
      </c>
      <c r="H44" s="977"/>
      <c r="I44" s="977"/>
      <c r="J44" s="977"/>
      <c r="K44" s="977"/>
      <c r="L44" s="978"/>
      <c r="M44" s="837" t="s">
        <v>144</v>
      </c>
      <c r="N44" s="838"/>
      <c r="O44" s="838"/>
      <c r="P44" s="838"/>
      <c r="Q44" s="846"/>
      <c r="R44" s="988">
        <v>188</v>
      </c>
      <c r="S44" s="989"/>
      <c r="T44" s="989"/>
      <c r="U44" s="989"/>
      <c r="V44" s="990"/>
      <c r="W44" s="994">
        <f>$R$44*Dizayn!$C$10*Dizayn!$C$9*Dizayn!$G$64/1000</f>
        <v>358.82713999999999</v>
      </c>
      <c r="X44" s="995"/>
      <c r="Y44" s="995"/>
      <c r="Z44" s="996"/>
    </row>
    <row r="45" spans="1:41" ht="21.95" customHeight="1" thickTop="1" thickBot="1" x14ac:dyDescent="0.3">
      <c r="A45" s="920"/>
      <c r="B45" s="1000">
        <v>11</v>
      </c>
      <c r="C45" s="1000"/>
      <c r="D45" s="1000">
        <v>21</v>
      </c>
      <c r="E45" s="1000"/>
      <c r="F45" s="1000"/>
      <c r="G45" s="979"/>
      <c r="H45" s="980"/>
      <c r="I45" s="980"/>
      <c r="J45" s="980"/>
      <c r="K45" s="980"/>
      <c r="L45" s="981"/>
      <c r="M45" s="985"/>
      <c r="N45" s="986"/>
      <c r="O45" s="986"/>
      <c r="P45" s="986"/>
      <c r="Q45" s="987"/>
      <c r="R45" s="991"/>
      <c r="S45" s="992"/>
      <c r="T45" s="992"/>
      <c r="U45" s="992"/>
      <c r="V45" s="993"/>
      <c r="W45" s="997"/>
      <c r="X45" s="998"/>
      <c r="Y45" s="998"/>
      <c r="Z45" s="999"/>
    </row>
    <row r="46" spans="1:41" ht="33" customHeight="1" thickTop="1" x14ac:dyDescent="0.25">
      <c r="A46" s="921" t="s">
        <v>135</v>
      </c>
      <c r="B46" s="908" t="str">
        <f>"KAPLAMADAN ALINAN NUMUNE "&amp;CHAR(10)&amp;"("&amp;TEXT('4 Karot Num.'!H12,"gg/aa/yyyy")&amp;" tarihli)"</f>
        <v>KAPLAMADAN ALINAN NUMUNE 
(21/04/2014 tarihli)</v>
      </c>
      <c r="C46" s="1030"/>
      <c r="D46" s="1030"/>
      <c r="E46" s="1030"/>
      <c r="F46" s="51" t="s">
        <v>161</v>
      </c>
      <c r="G46" s="922" t="s">
        <v>183</v>
      </c>
      <c r="H46" s="1019"/>
      <c r="I46" s="923"/>
      <c r="J46" s="922" t="s">
        <v>138</v>
      </c>
      <c r="K46" s="1019"/>
      <c r="L46" s="923"/>
      <c r="M46" s="922" t="s">
        <v>145</v>
      </c>
      <c r="N46" s="1019"/>
      <c r="O46" s="1019"/>
      <c r="P46" s="922" t="s">
        <v>416</v>
      </c>
      <c r="Q46" s="1019"/>
      <c r="R46" s="923"/>
      <c r="S46" s="922" t="s">
        <v>146</v>
      </c>
      <c r="T46" s="1019"/>
      <c r="U46" s="1019"/>
      <c r="V46" s="923"/>
      <c r="W46" s="922" t="s">
        <v>89</v>
      </c>
      <c r="X46" s="923"/>
      <c r="Y46" s="922" t="s">
        <v>90</v>
      </c>
      <c r="Z46" s="923"/>
    </row>
    <row r="47" spans="1:41" ht="21.95" customHeight="1" x14ac:dyDescent="0.25">
      <c r="A47" s="881"/>
      <c r="B47" s="910"/>
      <c r="C47" s="1031"/>
      <c r="D47" s="1031"/>
      <c r="E47" s="1031"/>
      <c r="F47" s="291">
        <v>1</v>
      </c>
      <c r="G47" s="1003" t="str">
        <f>CONCATENATE(TEXT('4 Karot Num.'!D16,"###+###;-0;;@")," ",'4 Karot Num.'!G16)</f>
        <v>3+960 SOL</v>
      </c>
      <c r="H47" s="1004"/>
      <c r="I47" s="1005"/>
      <c r="J47" s="1006">
        <f>IF('4 Karot Num.'!B16="","",'4 Karot Num.'!B16)</f>
        <v>0.24652777777777779</v>
      </c>
      <c r="K47" s="1007"/>
      <c r="L47" s="1008"/>
      <c r="M47" s="1009">
        <f>IF(G47=" ","",Dizayn!$C$9)</f>
        <v>70</v>
      </c>
      <c r="N47" s="1010"/>
      <c r="O47" s="1010"/>
      <c r="P47" s="1011">
        <f>'4 Karot Num.'!O16</f>
        <v>69</v>
      </c>
      <c r="Q47" s="1012"/>
      <c r="R47" s="1013"/>
      <c r="S47" s="1014">
        <f>'4 Karot Num.'!Y16</f>
        <v>2.2337412587412588</v>
      </c>
      <c r="T47" s="1015"/>
      <c r="U47" s="1015"/>
      <c r="V47" s="1016"/>
      <c r="W47" s="1017" t="str">
        <f ca="1">'4 Karot Num.'!AB16</f>
        <v>94,2X</v>
      </c>
      <c r="X47" s="1018"/>
      <c r="Y47" s="1001" t="str">
        <f ca="1">'4 Karot Num.'!AE16</f>
        <v>9,9X</v>
      </c>
      <c r="Z47" s="1002"/>
    </row>
    <row r="48" spans="1:41" ht="21.95" customHeight="1" x14ac:dyDescent="0.25">
      <c r="A48" s="881"/>
      <c r="B48" s="910"/>
      <c r="C48" s="1031"/>
      <c r="D48" s="1031"/>
      <c r="E48" s="1031"/>
      <c r="F48" s="291">
        <v>2</v>
      </c>
      <c r="G48" s="1003" t="str">
        <f>CONCATENATE(TEXT('4 Karot Num.'!D17,"###+###;-0;;@")," ",'4 Karot Num.'!G17)</f>
        <v>3+960 SOL</v>
      </c>
      <c r="H48" s="1004"/>
      <c r="I48" s="1005"/>
      <c r="J48" s="1006">
        <f>IF('4 Karot Num.'!B17="","",'4 Karot Num.'!B17)</f>
        <v>0.25</v>
      </c>
      <c r="K48" s="1007"/>
      <c r="L48" s="1008"/>
      <c r="M48" s="1009">
        <f>IF(G48=" ","",Dizayn!$C$9)</f>
        <v>70</v>
      </c>
      <c r="N48" s="1010"/>
      <c r="O48" s="1010"/>
      <c r="P48" s="1011" t="str">
        <f>'4 Karot Num.'!O17</f>
        <v>80X</v>
      </c>
      <c r="Q48" s="1012"/>
      <c r="R48" s="1013"/>
      <c r="S48" s="1014">
        <f>'4 Karot Num.'!Y17</f>
        <v>2.3895642416308207</v>
      </c>
      <c r="T48" s="1015"/>
      <c r="U48" s="1015"/>
      <c r="V48" s="1016"/>
      <c r="W48" s="1017">
        <f ca="1">'4 Karot Num.'!AB17</f>
        <v>100.8</v>
      </c>
      <c r="X48" s="1018"/>
      <c r="Y48" s="1001">
        <f ca="1">'4 Karot Num.'!AE17</f>
        <v>3.6</v>
      </c>
      <c r="Z48" s="1002"/>
    </row>
    <row r="49" spans="1:26" ht="21.95" customHeight="1" x14ac:dyDescent="0.25">
      <c r="A49" s="881"/>
      <c r="B49" s="910"/>
      <c r="C49" s="1031"/>
      <c r="D49" s="1031"/>
      <c r="E49" s="1031"/>
      <c r="F49" s="291">
        <v>3</v>
      </c>
      <c r="G49" s="1003" t="str">
        <f>CONCATENATE(TEXT('4 Karot Num.'!D18,"###+###;-0;;@")," ",'4 Karot Num.'!G18)</f>
        <v>3+840 SAĞ</v>
      </c>
      <c r="H49" s="1004"/>
      <c r="I49" s="1005"/>
      <c r="J49" s="1006">
        <f>IF('4 Karot Num.'!B18="","",'4 Karot Num.'!B18)</f>
        <v>0.25347222222222199</v>
      </c>
      <c r="K49" s="1007"/>
      <c r="L49" s="1008"/>
      <c r="M49" s="1009">
        <f>IF(G49=" ","",Dizayn!$C$9)</f>
        <v>70</v>
      </c>
      <c r="N49" s="1010"/>
      <c r="O49" s="1010"/>
      <c r="P49" s="1011" t="str">
        <f>'4 Karot Num.'!O18</f>
        <v>68,4X</v>
      </c>
      <c r="Q49" s="1012"/>
      <c r="R49" s="1013"/>
      <c r="S49" s="1014">
        <f>'4 Karot Num.'!Y18</f>
        <v>2.3895642416308207</v>
      </c>
      <c r="T49" s="1015"/>
      <c r="U49" s="1015"/>
      <c r="V49" s="1016"/>
      <c r="W49" s="1017">
        <f ca="1">'4 Karot Num.'!AB18</f>
        <v>100.8</v>
      </c>
      <c r="X49" s="1018"/>
      <c r="Y49" s="1001">
        <f ca="1">'4 Karot Num.'!AE18</f>
        <v>3.6</v>
      </c>
      <c r="Z49" s="1002"/>
    </row>
    <row r="50" spans="1:26" ht="21.95" customHeight="1" x14ac:dyDescent="0.25">
      <c r="A50" s="881"/>
      <c r="B50" s="910"/>
      <c r="C50" s="1031"/>
      <c r="D50" s="1031"/>
      <c r="E50" s="1031"/>
      <c r="F50" s="291">
        <v>4</v>
      </c>
      <c r="G50" s="1003" t="str">
        <f>CONCATENATE(TEXT('4 Karot Num.'!D19,"###+###;-0;;@")," ",'4 Karot Num.'!G19)</f>
        <v>3+840 SAĞ</v>
      </c>
      <c r="H50" s="1004"/>
      <c r="I50" s="1005"/>
      <c r="J50" s="1006">
        <f>IF('4 Karot Num.'!B19="","",'4 Karot Num.'!B19)</f>
        <v>0.25694444444444398</v>
      </c>
      <c r="K50" s="1007"/>
      <c r="L50" s="1008"/>
      <c r="M50" s="1009">
        <f>IF(G50=" ","",Dizayn!$C$9)</f>
        <v>70</v>
      </c>
      <c r="N50" s="1010"/>
      <c r="O50" s="1010"/>
      <c r="P50" s="1011" t="str">
        <f>'4 Karot Num.'!O19</f>
        <v>68,2X</v>
      </c>
      <c r="Q50" s="1012"/>
      <c r="R50" s="1013"/>
      <c r="S50" s="1014">
        <f>'4 Karot Num.'!Y19</f>
        <v>2.3895642416308207</v>
      </c>
      <c r="T50" s="1015"/>
      <c r="U50" s="1015"/>
      <c r="V50" s="1016"/>
      <c r="W50" s="1017">
        <f ca="1">'4 Karot Num.'!AB19</f>
        <v>100.8</v>
      </c>
      <c r="X50" s="1018"/>
      <c r="Y50" s="1001">
        <f ca="1">'4 Karot Num.'!AE19</f>
        <v>3.6</v>
      </c>
      <c r="Z50" s="1002"/>
    </row>
    <row r="51" spans="1:26" ht="21.95" customHeight="1" x14ac:dyDescent="0.25">
      <c r="A51" s="881"/>
      <c r="B51" s="910"/>
      <c r="C51" s="1031"/>
      <c r="D51" s="1031"/>
      <c r="E51" s="1031"/>
      <c r="F51" s="291">
        <v>5</v>
      </c>
      <c r="G51" s="1003" t="str">
        <f>CONCATENATE(TEXT('4 Karot Num.'!D20,"###+###;-0;;@")," ",'4 Karot Num.'!G20)</f>
        <v>3+720 SOL</v>
      </c>
      <c r="H51" s="1004"/>
      <c r="I51" s="1005"/>
      <c r="J51" s="1006">
        <f>IF('4 Karot Num.'!B20="","",'4 Karot Num.'!B20)</f>
        <v>0.26041666666666702</v>
      </c>
      <c r="K51" s="1007"/>
      <c r="L51" s="1008"/>
      <c r="M51" s="1009">
        <f>IF(G51=" ","",Dizayn!$C$9)</f>
        <v>70</v>
      </c>
      <c r="N51" s="1010"/>
      <c r="O51" s="1010"/>
      <c r="P51" s="1011" t="str">
        <f>'4 Karot Num.'!O20</f>
        <v>74,2X</v>
      </c>
      <c r="Q51" s="1012"/>
      <c r="R51" s="1013"/>
      <c r="S51" s="1014">
        <f>'4 Karot Num.'!Y20</f>
        <v>2.3895642416308207</v>
      </c>
      <c r="T51" s="1015"/>
      <c r="U51" s="1015"/>
      <c r="V51" s="1016"/>
      <c r="W51" s="1017">
        <f ca="1">'4 Karot Num.'!AB20</f>
        <v>100.8</v>
      </c>
      <c r="X51" s="1018"/>
      <c r="Y51" s="1001">
        <f ca="1">'4 Karot Num.'!AE20</f>
        <v>3.6</v>
      </c>
      <c r="Z51" s="1002"/>
    </row>
    <row r="52" spans="1:26" ht="21.95" customHeight="1" x14ac:dyDescent="0.25">
      <c r="A52" s="881"/>
      <c r="B52" s="910"/>
      <c r="C52" s="1031"/>
      <c r="D52" s="1031"/>
      <c r="E52" s="1031"/>
      <c r="F52" s="291">
        <v>6</v>
      </c>
      <c r="G52" s="1003" t="str">
        <f>CONCATENATE(TEXT('4 Karot Num.'!D21,"###+###;-0;;@")," ",'4 Karot Num.'!G21)</f>
        <v>3+720 SOL</v>
      </c>
      <c r="H52" s="1004"/>
      <c r="I52" s="1005"/>
      <c r="J52" s="1006">
        <f>IF('4 Karot Num.'!B21="","",'4 Karot Num.'!B21)</f>
        <v>0.26388888888888901</v>
      </c>
      <c r="K52" s="1007"/>
      <c r="L52" s="1008"/>
      <c r="M52" s="1009">
        <f>IF(G52=" ","",Dizayn!$C$9)</f>
        <v>70</v>
      </c>
      <c r="N52" s="1010"/>
      <c r="O52" s="1010"/>
      <c r="P52" s="1011" t="str">
        <f>'4 Karot Num.'!O21</f>
        <v>82,2X</v>
      </c>
      <c r="Q52" s="1012"/>
      <c r="R52" s="1013"/>
      <c r="S52" s="1014">
        <f>'4 Karot Num.'!Y21</f>
        <v>2.3895642416308207</v>
      </c>
      <c r="T52" s="1015"/>
      <c r="U52" s="1015"/>
      <c r="V52" s="1016"/>
      <c r="W52" s="1017">
        <f ca="1">'4 Karot Num.'!AB21</f>
        <v>100.8</v>
      </c>
      <c r="X52" s="1018"/>
      <c r="Y52" s="1001">
        <f ca="1">'4 Karot Num.'!AE21</f>
        <v>3.6</v>
      </c>
      <c r="Z52" s="1002"/>
    </row>
    <row r="53" spans="1:26" ht="21.95" customHeight="1" x14ac:dyDescent="0.25">
      <c r="A53" s="881"/>
      <c r="B53" s="910"/>
      <c r="C53" s="1031"/>
      <c r="D53" s="1031"/>
      <c r="E53" s="1031"/>
      <c r="F53" s="291">
        <v>7</v>
      </c>
      <c r="G53" s="1003" t="str">
        <f>CONCATENATE(TEXT('4 Karot Num.'!D22,"###+###;-0;;@")," ",'4 Karot Num.'!G22)</f>
        <v>3+580 SAĞ</v>
      </c>
      <c r="H53" s="1004"/>
      <c r="I53" s="1005"/>
      <c r="J53" s="1006">
        <f>IF('4 Karot Num.'!B22="","",'4 Karot Num.'!B22)</f>
        <v>0.26736111111111099</v>
      </c>
      <c r="K53" s="1007"/>
      <c r="L53" s="1008"/>
      <c r="M53" s="1009">
        <f>IF(G53=" ","",Dizayn!$C$9)</f>
        <v>70</v>
      </c>
      <c r="N53" s="1010"/>
      <c r="O53" s="1010"/>
      <c r="P53" s="1011" t="str">
        <f>'4 Karot Num.'!O22</f>
        <v>68,3X</v>
      </c>
      <c r="Q53" s="1012"/>
      <c r="R53" s="1013"/>
      <c r="S53" s="1014">
        <f>'4 Karot Num.'!Y22</f>
        <v>2.3895642416308207</v>
      </c>
      <c r="T53" s="1015"/>
      <c r="U53" s="1015"/>
      <c r="V53" s="1016"/>
      <c r="W53" s="1017">
        <f ca="1">'4 Karot Num.'!AB22</f>
        <v>100.8</v>
      </c>
      <c r="X53" s="1018"/>
      <c r="Y53" s="1001">
        <f ca="1">'4 Karot Num.'!AE22</f>
        <v>3.6</v>
      </c>
      <c r="Z53" s="1002"/>
    </row>
    <row r="54" spans="1:26" ht="21.95" customHeight="1" x14ac:dyDescent="0.25">
      <c r="A54" s="881"/>
      <c r="B54" s="910"/>
      <c r="C54" s="1031"/>
      <c r="D54" s="1031"/>
      <c r="E54" s="1031"/>
      <c r="F54" s="291">
        <v>8</v>
      </c>
      <c r="G54" s="1003" t="str">
        <f>CONCATENATE(TEXT('4 Karot Num.'!D23,"###+###;-0;;@")," ",'4 Karot Num.'!G23)</f>
        <v>3+580 SAĞ</v>
      </c>
      <c r="H54" s="1004"/>
      <c r="I54" s="1005"/>
      <c r="J54" s="1006">
        <f>IF('4 Karot Num.'!B23="","",'4 Karot Num.'!B23)</f>
        <v>0.27083333333333298</v>
      </c>
      <c r="K54" s="1007"/>
      <c r="L54" s="1008"/>
      <c r="M54" s="1009">
        <f>IF(G54=" ","",Dizayn!$C$9)</f>
        <v>70</v>
      </c>
      <c r="N54" s="1010"/>
      <c r="O54" s="1010"/>
      <c r="P54" s="1011" t="str">
        <f>'4 Karot Num.'!O23</f>
        <v>78,2X</v>
      </c>
      <c r="Q54" s="1012"/>
      <c r="R54" s="1013"/>
      <c r="S54" s="1014">
        <f>'4 Karot Num.'!Y23</f>
        <v>2.3895642416308207</v>
      </c>
      <c r="T54" s="1015"/>
      <c r="U54" s="1015"/>
      <c r="V54" s="1016"/>
      <c r="W54" s="1017">
        <f ca="1">'4 Karot Num.'!AB23</f>
        <v>100.8</v>
      </c>
      <c r="X54" s="1018"/>
      <c r="Y54" s="1001">
        <f ca="1">'4 Karot Num.'!AE23</f>
        <v>3.6</v>
      </c>
      <c r="Z54" s="1002"/>
    </row>
    <row r="55" spans="1:26" ht="21.95" customHeight="1" x14ac:dyDescent="0.25">
      <c r="A55" s="881"/>
      <c r="B55" s="910"/>
      <c r="C55" s="1031"/>
      <c r="D55" s="1031"/>
      <c r="E55" s="1031"/>
      <c r="F55" s="291">
        <v>9</v>
      </c>
      <c r="G55" s="1003" t="str">
        <f>CONCATENATE(TEXT('4 Karot Num.'!D24,"###+###;-0;;@")," ",'4 Karot Num.'!G24)</f>
        <v>3+450 SOL</v>
      </c>
      <c r="H55" s="1004"/>
      <c r="I55" s="1005"/>
      <c r="J55" s="1006">
        <f>IF('4 Karot Num.'!B24="","",'4 Karot Num.'!B24)</f>
        <v>0.27430555555555503</v>
      </c>
      <c r="K55" s="1007"/>
      <c r="L55" s="1008"/>
      <c r="M55" s="1009">
        <f>IF(G55=" ","",Dizayn!$C$9)</f>
        <v>70</v>
      </c>
      <c r="N55" s="1010"/>
      <c r="O55" s="1010"/>
      <c r="P55" s="1011" t="str">
        <f>'4 Karot Num.'!O24</f>
        <v>70,5X</v>
      </c>
      <c r="Q55" s="1012"/>
      <c r="R55" s="1013"/>
      <c r="S55" s="1014">
        <f>'4 Karot Num.'!Y24</f>
        <v>2.3895642416308207</v>
      </c>
      <c r="T55" s="1015"/>
      <c r="U55" s="1015"/>
      <c r="V55" s="1016"/>
      <c r="W55" s="1017">
        <f ca="1">'4 Karot Num.'!AB24</f>
        <v>100.8</v>
      </c>
      <c r="X55" s="1018"/>
      <c r="Y55" s="1001">
        <f ca="1">'4 Karot Num.'!AE24</f>
        <v>3.6</v>
      </c>
      <c r="Z55" s="1002"/>
    </row>
    <row r="56" spans="1:26" ht="21.95" customHeight="1" x14ac:dyDescent="0.25">
      <c r="A56" s="881"/>
      <c r="B56" s="910"/>
      <c r="C56" s="1031"/>
      <c r="D56" s="1031"/>
      <c r="E56" s="1031"/>
      <c r="F56" s="291">
        <v>10</v>
      </c>
      <c r="G56" s="1003" t="str">
        <f>CONCATENATE(TEXT('4 Karot Num.'!D25,"###+###;-0;;@")," ",'4 Karot Num.'!G25)</f>
        <v>3+450 SOL</v>
      </c>
      <c r="H56" s="1004"/>
      <c r="I56" s="1005"/>
      <c r="J56" s="1006">
        <f>IF('4 Karot Num.'!B25="","",'4 Karot Num.'!B25)</f>
        <v>0.27777777777777801</v>
      </c>
      <c r="K56" s="1007"/>
      <c r="L56" s="1008"/>
      <c r="M56" s="1009">
        <f>IF(G56=" ","",Dizayn!$C$9)</f>
        <v>70</v>
      </c>
      <c r="N56" s="1010"/>
      <c r="O56" s="1010"/>
      <c r="P56" s="1011" t="str">
        <f>'4 Karot Num.'!O25</f>
        <v>68,6X</v>
      </c>
      <c r="Q56" s="1012"/>
      <c r="R56" s="1013"/>
      <c r="S56" s="1014">
        <f>'4 Karot Num.'!Y25</f>
        <v>2.3895642416308207</v>
      </c>
      <c r="T56" s="1015"/>
      <c r="U56" s="1015"/>
      <c r="V56" s="1016"/>
      <c r="W56" s="1017">
        <f ca="1">'4 Karot Num.'!AB25</f>
        <v>100.8</v>
      </c>
      <c r="X56" s="1018"/>
      <c r="Y56" s="1001">
        <f ca="1">'4 Karot Num.'!AE25</f>
        <v>3.6</v>
      </c>
      <c r="Z56" s="1002"/>
    </row>
    <row r="57" spans="1:26" ht="21.95" customHeight="1" x14ac:dyDescent="0.25">
      <c r="A57" s="881"/>
      <c r="B57" s="910"/>
      <c r="C57" s="1031"/>
      <c r="D57" s="1031"/>
      <c r="E57" s="1031"/>
      <c r="F57" s="291">
        <v>11</v>
      </c>
      <c r="G57" s="1003" t="str">
        <f>CONCATENATE(TEXT('4 Karot Num.'!D26,"###+###;-0;;@")," ",'4 Karot Num.'!G26)</f>
        <v>3+330 SAĞ</v>
      </c>
      <c r="H57" s="1004"/>
      <c r="I57" s="1005"/>
      <c r="J57" s="1006">
        <f>IF('4 Karot Num.'!B26="","",'4 Karot Num.'!B26)</f>
        <v>0.28125</v>
      </c>
      <c r="K57" s="1007"/>
      <c r="L57" s="1008"/>
      <c r="M57" s="1009">
        <f>IF(G57=" ","",Dizayn!$C$9)</f>
        <v>70</v>
      </c>
      <c r="N57" s="1010"/>
      <c r="O57" s="1010"/>
      <c r="P57" s="1011" t="str">
        <f>'4 Karot Num.'!O26</f>
        <v>68,7X</v>
      </c>
      <c r="Q57" s="1012"/>
      <c r="R57" s="1013"/>
      <c r="S57" s="1014">
        <f>'4 Karot Num.'!Y26</f>
        <v>2.3895642416308207</v>
      </c>
      <c r="T57" s="1015"/>
      <c r="U57" s="1015"/>
      <c r="V57" s="1016"/>
      <c r="W57" s="1017">
        <f ca="1">'4 Karot Num.'!AB26</f>
        <v>100.8</v>
      </c>
      <c r="X57" s="1018"/>
      <c r="Y57" s="1001">
        <f ca="1">'4 Karot Num.'!AE26</f>
        <v>3.6</v>
      </c>
      <c r="Z57" s="1002"/>
    </row>
    <row r="58" spans="1:26" ht="21.95" customHeight="1" x14ac:dyDescent="0.25">
      <c r="A58" s="881"/>
      <c r="B58" s="910"/>
      <c r="C58" s="1031"/>
      <c r="D58" s="1031"/>
      <c r="E58" s="1031"/>
      <c r="F58" s="291">
        <v>12</v>
      </c>
      <c r="G58" s="1003" t="str">
        <f>CONCATENATE(TEXT('4 Karot Num.'!D27,"###+###;-0;;@")," ",'4 Karot Num.'!G27)</f>
        <v>3+330 SAĞ</v>
      </c>
      <c r="H58" s="1004"/>
      <c r="I58" s="1005"/>
      <c r="J58" s="1006">
        <f>IF('4 Karot Num.'!B27="","",'4 Karot Num.'!B27)</f>
        <v>0.28472222222222199</v>
      </c>
      <c r="K58" s="1007"/>
      <c r="L58" s="1008"/>
      <c r="M58" s="1009">
        <f>IF(G58=" ","",Dizayn!$C$9)</f>
        <v>70</v>
      </c>
      <c r="N58" s="1010"/>
      <c r="O58" s="1010"/>
      <c r="P58" s="1011" t="str">
        <f>'4 Karot Num.'!O27</f>
        <v>70X</v>
      </c>
      <c r="Q58" s="1012"/>
      <c r="R58" s="1013"/>
      <c r="S58" s="1014">
        <f>'4 Karot Num.'!Y27</f>
        <v>2.3895642416308207</v>
      </c>
      <c r="T58" s="1015"/>
      <c r="U58" s="1015"/>
      <c r="V58" s="1016"/>
      <c r="W58" s="1017">
        <f ca="1">'4 Karot Num.'!AB27</f>
        <v>100.8</v>
      </c>
      <c r="X58" s="1018"/>
      <c r="Y58" s="1001">
        <f ca="1">'4 Karot Num.'!AE27</f>
        <v>3.6</v>
      </c>
      <c r="Z58" s="1002"/>
    </row>
    <row r="59" spans="1:26" ht="21.95" customHeight="1" x14ac:dyDescent="0.25">
      <c r="A59" s="881"/>
      <c r="B59" s="910"/>
      <c r="C59" s="1031"/>
      <c r="D59" s="1031"/>
      <c r="E59" s="1031"/>
      <c r="F59" s="291">
        <v>13</v>
      </c>
      <c r="G59" s="1003" t="str">
        <f>CONCATENATE(TEXT('4 Karot Num.'!D28,"###+###;-0;;@")," ",'4 Karot Num.'!G28)</f>
        <v xml:space="preserve"> </v>
      </c>
      <c r="H59" s="1004"/>
      <c r="I59" s="1005"/>
      <c r="J59" s="1006" t="str">
        <f>IF('4 Karot Num.'!B28="","",'4 Karot Num.'!B28)</f>
        <v/>
      </c>
      <c r="K59" s="1007"/>
      <c r="L59" s="1008"/>
      <c r="M59" s="1009" t="str">
        <f>IF(G59=" ","",Dizayn!$C$9)</f>
        <v/>
      </c>
      <c r="N59" s="1010"/>
      <c r="O59" s="1010"/>
      <c r="P59" s="1011" t="str">
        <f>'4 Karot Num.'!O28</f>
        <v/>
      </c>
      <c r="Q59" s="1012"/>
      <c r="R59" s="1013"/>
      <c r="S59" s="1014" t="str">
        <f>'4 Karot Num.'!Y28</f>
        <v/>
      </c>
      <c r="T59" s="1015"/>
      <c r="U59" s="1015"/>
      <c r="V59" s="1016"/>
      <c r="W59" s="1017" t="str">
        <f ca="1">'4 Karot Num.'!AB28</f>
        <v/>
      </c>
      <c r="X59" s="1018"/>
      <c r="Y59" s="1001" t="str">
        <f ca="1">'4 Karot Num.'!AE28</f>
        <v/>
      </c>
      <c r="Z59" s="1002"/>
    </row>
    <row r="60" spans="1:26" ht="21.95" customHeight="1" x14ac:dyDescent="0.25">
      <c r="A60" s="881"/>
      <c r="B60" s="910"/>
      <c r="C60" s="1031"/>
      <c r="D60" s="1031"/>
      <c r="E60" s="1031"/>
      <c r="F60" s="291">
        <v>14</v>
      </c>
      <c r="G60" s="1003" t="str">
        <f>CONCATENATE(TEXT('4 Karot Num.'!D29,"###+###;-0;;@")," ",'4 Karot Num.'!G29)</f>
        <v xml:space="preserve"> </v>
      </c>
      <c r="H60" s="1004"/>
      <c r="I60" s="1005"/>
      <c r="J60" s="1006" t="str">
        <f>IF('4 Karot Num.'!B29="","",'4 Karot Num.'!B29)</f>
        <v/>
      </c>
      <c r="K60" s="1007"/>
      <c r="L60" s="1008"/>
      <c r="M60" s="1009" t="str">
        <f>IF(G60=" ","",Dizayn!$C$9)</f>
        <v/>
      </c>
      <c r="N60" s="1010"/>
      <c r="O60" s="1010"/>
      <c r="P60" s="1011" t="str">
        <f>'4 Karot Num.'!O29</f>
        <v/>
      </c>
      <c r="Q60" s="1012"/>
      <c r="R60" s="1013"/>
      <c r="S60" s="1014" t="str">
        <f>'4 Karot Num.'!Y29</f>
        <v/>
      </c>
      <c r="T60" s="1015"/>
      <c r="U60" s="1015"/>
      <c r="V60" s="1016"/>
      <c r="W60" s="1017" t="str">
        <f ca="1">'4 Karot Num.'!AB29</f>
        <v/>
      </c>
      <c r="X60" s="1018"/>
      <c r="Y60" s="1001" t="str">
        <f ca="1">'4 Karot Num.'!AE29</f>
        <v/>
      </c>
      <c r="Z60" s="1002"/>
    </row>
    <row r="61" spans="1:26" ht="21.95" customHeight="1" x14ac:dyDescent="0.25">
      <c r="A61" s="881"/>
      <c r="B61" s="910"/>
      <c r="C61" s="1031"/>
      <c r="D61" s="1031"/>
      <c r="E61" s="1031"/>
      <c r="F61" s="291">
        <v>15</v>
      </c>
      <c r="G61" s="1003" t="str">
        <f>CONCATENATE(TEXT('4 Karot Num.'!D30,"###+###;-0;;@")," ",'4 Karot Num.'!G30)</f>
        <v xml:space="preserve"> </v>
      </c>
      <c r="H61" s="1004"/>
      <c r="I61" s="1005"/>
      <c r="J61" s="1006" t="str">
        <f>IF('4 Karot Num.'!B30="","",'4 Karot Num.'!B30)</f>
        <v/>
      </c>
      <c r="K61" s="1007"/>
      <c r="L61" s="1008"/>
      <c r="M61" s="1009" t="str">
        <f>IF(G61=" ","",Dizayn!$C$9)</f>
        <v/>
      </c>
      <c r="N61" s="1010"/>
      <c r="O61" s="1010"/>
      <c r="P61" s="1011" t="str">
        <f>'4 Karot Num.'!O30</f>
        <v/>
      </c>
      <c r="Q61" s="1012"/>
      <c r="R61" s="1013"/>
      <c r="S61" s="1014" t="str">
        <f>'4 Karot Num.'!Y30</f>
        <v/>
      </c>
      <c r="T61" s="1015"/>
      <c r="U61" s="1015"/>
      <c r="V61" s="1016"/>
      <c r="W61" s="1017" t="str">
        <f ca="1">'4 Karot Num.'!AB30</f>
        <v/>
      </c>
      <c r="X61" s="1018"/>
      <c r="Y61" s="1001" t="str">
        <f ca="1">'4 Karot Num.'!AE30</f>
        <v/>
      </c>
      <c r="Z61" s="1002"/>
    </row>
    <row r="62" spans="1:26" ht="21.95" customHeight="1" x14ac:dyDescent="0.25">
      <c r="A62" s="881"/>
      <c r="B62" s="910"/>
      <c r="C62" s="1031"/>
      <c r="D62" s="1031"/>
      <c r="E62" s="1031"/>
      <c r="F62" s="291">
        <v>16</v>
      </c>
      <c r="G62" s="1003" t="str">
        <f>CONCATENATE(TEXT('4 Karot Num.'!D31,"###+###;-0;;@")," ",'4 Karot Num.'!G31)</f>
        <v xml:space="preserve"> </v>
      </c>
      <c r="H62" s="1004"/>
      <c r="I62" s="1005"/>
      <c r="J62" s="1006" t="str">
        <f>IF('4 Karot Num.'!B31="","",'4 Karot Num.'!B31)</f>
        <v/>
      </c>
      <c r="K62" s="1007"/>
      <c r="L62" s="1008"/>
      <c r="M62" s="1009" t="str">
        <f>IF(G62=" ","",Dizayn!$C$9)</f>
        <v/>
      </c>
      <c r="N62" s="1010"/>
      <c r="O62" s="1010"/>
      <c r="P62" s="1011" t="str">
        <f>'4 Karot Num.'!O31</f>
        <v/>
      </c>
      <c r="Q62" s="1012"/>
      <c r="R62" s="1013"/>
      <c r="S62" s="1014" t="str">
        <f>'4 Karot Num.'!Y31</f>
        <v/>
      </c>
      <c r="T62" s="1015"/>
      <c r="U62" s="1015"/>
      <c r="V62" s="1016"/>
      <c r="W62" s="1017" t="str">
        <f ca="1">'4 Karot Num.'!AB31</f>
        <v/>
      </c>
      <c r="X62" s="1018"/>
      <c r="Y62" s="1001" t="str">
        <f ca="1">'4 Karot Num.'!AE31</f>
        <v/>
      </c>
      <c r="Z62" s="1002"/>
    </row>
    <row r="63" spans="1:26" ht="21.95" customHeight="1" thickBot="1" x14ac:dyDescent="0.3">
      <c r="A63" s="881"/>
      <c r="B63" s="910"/>
      <c r="C63" s="1031"/>
      <c r="D63" s="1031"/>
      <c r="E63" s="1031"/>
      <c r="F63" s="1037" t="s">
        <v>417</v>
      </c>
      <c r="G63" s="1038"/>
      <c r="H63" s="1038"/>
      <c r="I63" s="1038"/>
      <c r="J63" s="1038"/>
      <c r="K63" s="1038"/>
      <c r="L63" s="1038"/>
      <c r="M63" s="1038"/>
      <c r="N63" s="1038"/>
      <c r="O63" s="1038"/>
      <c r="P63" s="1038"/>
      <c r="Q63" s="1038"/>
      <c r="R63" s="1038"/>
      <c r="S63" s="1038"/>
      <c r="T63" s="1038"/>
      <c r="U63" s="1038"/>
      <c r="V63" s="1039"/>
      <c r="W63" s="1040" t="str">
        <f ca="1">IFERROR(ROUND('4 Karot Num.'!AB32,1)&amp;'4 Karot Num.'!AD32,"")</f>
        <v>100,8</v>
      </c>
      <c r="X63" s="1041"/>
      <c r="Y63" s="1040">
        <f ca="1">'4 Karot Num.'!$AE$32</f>
        <v>3.6</v>
      </c>
      <c r="Z63" s="1041"/>
    </row>
    <row r="64" spans="1:26" ht="21.95" customHeight="1" thickTop="1" x14ac:dyDescent="0.25">
      <c r="A64" s="1020" t="s">
        <v>284</v>
      </c>
      <c r="B64" s="1021"/>
      <c r="C64" s="1021"/>
      <c r="D64" s="1024"/>
      <c r="E64" s="1024"/>
      <c r="F64" s="1024"/>
      <c r="G64" s="1024"/>
      <c r="H64" s="1024"/>
      <c r="I64" s="1024"/>
      <c r="J64" s="1024"/>
      <c r="K64" s="1024"/>
      <c r="L64" s="1024"/>
      <c r="M64" s="1024"/>
      <c r="N64" s="1024"/>
      <c r="O64" s="1024"/>
      <c r="P64" s="1024"/>
      <c r="Q64" s="1024"/>
      <c r="R64" s="1024"/>
      <c r="S64" s="1024"/>
      <c r="T64" s="1024"/>
      <c r="U64" s="1024"/>
      <c r="V64" s="1024"/>
      <c r="W64" s="1024"/>
      <c r="X64" s="1024"/>
      <c r="Y64" s="1024"/>
      <c r="Z64" s="1025"/>
    </row>
    <row r="65" spans="1:27" ht="21.95" customHeight="1" x14ac:dyDescent="0.25">
      <c r="A65" s="1022"/>
      <c r="B65" s="1023"/>
      <c r="C65" s="1023"/>
      <c r="D65" s="1026"/>
      <c r="E65" s="1026"/>
      <c r="F65" s="1026"/>
      <c r="G65" s="1026"/>
      <c r="H65" s="1026"/>
      <c r="I65" s="1026"/>
      <c r="J65" s="1026"/>
      <c r="K65" s="1026"/>
      <c r="L65" s="1026"/>
      <c r="M65" s="1026"/>
      <c r="N65" s="1026"/>
      <c r="O65" s="1026"/>
      <c r="P65" s="1026"/>
      <c r="Q65" s="1026"/>
      <c r="R65" s="1026"/>
      <c r="S65" s="1026"/>
      <c r="T65" s="1026"/>
      <c r="U65" s="1026"/>
      <c r="V65" s="1026"/>
      <c r="W65" s="1026"/>
      <c r="X65" s="1026"/>
      <c r="Y65" s="1026"/>
      <c r="Z65" s="1027"/>
      <c r="AA65" s="143"/>
    </row>
    <row r="66" spans="1:27" ht="21.95" customHeight="1" x14ac:dyDescent="0.25">
      <c r="A66" s="188"/>
      <c r="B66" s="185"/>
      <c r="C66" s="185"/>
      <c r="D66" s="185"/>
      <c r="E66" s="185"/>
      <c r="F66" s="185"/>
      <c r="G66" s="185"/>
      <c r="H66" s="185"/>
      <c r="I66" s="185"/>
      <c r="J66" s="185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  <c r="V66" s="1028"/>
      <c r="W66" s="1028"/>
      <c r="X66" s="1028"/>
      <c r="Y66" s="1028"/>
      <c r="Z66" s="1029"/>
    </row>
    <row r="67" spans="1:27" ht="21.95" customHeight="1" x14ac:dyDescent="0.25">
      <c r="A67" s="188"/>
      <c r="B67" s="185"/>
      <c r="C67" s="185"/>
      <c r="D67" s="185"/>
      <c r="E67" s="185"/>
      <c r="F67" s="185"/>
      <c r="G67" s="185"/>
      <c r="H67" s="185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9"/>
    </row>
    <row r="68" spans="1:27" ht="21.95" customHeight="1" x14ac:dyDescent="0.25">
      <c r="A68" s="188"/>
      <c r="B68" s="185"/>
      <c r="C68" s="185"/>
      <c r="D68" s="185"/>
      <c r="E68" s="185"/>
      <c r="F68" s="185"/>
      <c r="G68" s="185"/>
      <c r="H68" s="185"/>
      <c r="I68" s="185"/>
      <c r="J68" s="185"/>
      <c r="K68" s="185"/>
      <c r="L68" s="185"/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9"/>
    </row>
    <row r="69" spans="1:27" ht="21.95" customHeight="1" x14ac:dyDescent="0.25">
      <c r="A69" s="188"/>
      <c r="B69" s="185"/>
      <c r="C69" s="185"/>
      <c r="D69" s="185"/>
      <c r="E69" s="185"/>
      <c r="F69" s="185"/>
      <c r="G69" s="185"/>
      <c r="H69" s="185"/>
      <c r="I69" s="185"/>
      <c r="J69" s="185"/>
      <c r="K69" s="185"/>
      <c r="L69" s="185"/>
      <c r="M69" s="185"/>
      <c r="N69" s="185"/>
      <c r="O69" s="185"/>
      <c r="P69" s="185"/>
      <c r="Q69" s="185"/>
      <c r="R69" s="185"/>
      <c r="S69" s="185"/>
      <c r="T69" s="185"/>
      <c r="U69" s="185"/>
      <c r="V69" s="185"/>
      <c r="W69" s="185"/>
      <c r="X69" s="185"/>
      <c r="Y69" s="185"/>
      <c r="Z69" s="189"/>
    </row>
    <row r="70" spans="1:27" ht="21.95" customHeight="1" x14ac:dyDescent="0.25">
      <c r="A70" s="188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185"/>
      <c r="O70" s="185"/>
      <c r="P70" s="185"/>
      <c r="Q70" s="185"/>
      <c r="R70" s="185"/>
      <c r="S70" s="185"/>
      <c r="T70" s="185"/>
      <c r="U70" s="185"/>
      <c r="V70" s="185"/>
      <c r="W70" s="185"/>
      <c r="X70" s="185"/>
      <c r="Y70" s="185"/>
      <c r="Z70" s="189"/>
    </row>
    <row r="71" spans="1:27" ht="21.95" customHeight="1" x14ac:dyDescent="0.25">
      <c r="A71" s="30"/>
      <c r="B71" s="190"/>
      <c r="C71" s="190"/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1"/>
    </row>
    <row r="72" spans="1:27" ht="21.95" customHeight="1" x14ac:dyDescent="0.25">
      <c r="A72" s="30"/>
      <c r="B72" s="190"/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/>
      <c r="Q72" s="190"/>
      <c r="R72" s="190"/>
      <c r="S72" s="190"/>
      <c r="T72" s="190"/>
      <c r="U72" s="190"/>
      <c r="V72" s="190"/>
      <c r="W72" s="190"/>
      <c r="X72" s="190"/>
      <c r="Y72" s="190"/>
      <c r="Z72" s="191"/>
    </row>
  </sheetData>
  <sheetProtection password="CC3D" sheet="1" objects="1" scenarios="1"/>
  <mergeCells count="374">
    <mergeCell ref="G29:H29"/>
    <mergeCell ref="G30:H30"/>
    <mergeCell ref="M17:R18"/>
    <mergeCell ref="K18:L18"/>
    <mergeCell ref="G25:H25"/>
    <mergeCell ref="G26:H26"/>
    <mergeCell ref="G27:H27"/>
    <mergeCell ref="G28:H28"/>
    <mergeCell ref="S24:V24"/>
    <mergeCell ref="Q20:R20"/>
    <mergeCell ref="M21:P21"/>
    <mergeCell ref="I21:L21"/>
    <mergeCell ref="I24:L24"/>
    <mergeCell ref="M24:P24"/>
    <mergeCell ref="Q24:R24"/>
    <mergeCell ref="S20:V20"/>
    <mergeCell ref="S29:T29"/>
    <mergeCell ref="U29:V29"/>
    <mergeCell ref="S27:T27"/>
    <mergeCell ref="U27:V27"/>
    <mergeCell ref="I20:L20"/>
    <mergeCell ref="M20:P20"/>
    <mergeCell ref="I12:J12"/>
    <mergeCell ref="K12:L12"/>
    <mergeCell ref="I13:J13"/>
    <mergeCell ref="M13:R14"/>
    <mergeCell ref="K14:L14"/>
    <mergeCell ref="K15:L15"/>
    <mergeCell ref="K16:L16"/>
    <mergeCell ref="I17:J17"/>
    <mergeCell ref="K17:L17"/>
    <mergeCell ref="W24:Z24"/>
    <mergeCell ref="W23:Z23"/>
    <mergeCell ref="W22:Z22"/>
    <mergeCell ref="S23:V23"/>
    <mergeCell ref="S22:V22"/>
    <mergeCell ref="K13:L13"/>
    <mergeCell ref="B15:C16"/>
    <mergeCell ref="F63:V63"/>
    <mergeCell ref="W63:X63"/>
    <mergeCell ref="Y63:Z63"/>
    <mergeCell ref="Y59:Z59"/>
    <mergeCell ref="G60:I60"/>
    <mergeCell ref="J60:L60"/>
    <mergeCell ref="M60:O60"/>
    <mergeCell ref="P60:R60"/>
    <mergeCell ref="S60:V60"/>
    <mergeCell ref="W60:X60"/>
    <mergeCell ref="Y60:Z60"/>
    <mergeCell ref="G59:I59"/>
    <mergeCell ref="J59:L59"/>
    <mergeCell ref="M59:O59"/>
    <mergeCell ref="P59:R59"/>
    <mergeCell ref="S59:V59"/>
    <mergeCell ref="W59:X59"/>
    <mergeCell ref="A64:C65"/>
    <mergeCell ref="D64:Z65"/>
    <mergeCell ref="V66:Z66"/>
    <mergeCell ref="Y61:Z61"/>
    <mergeCell ref="G62:I62"/>
    <mergeCell ref="J62:L62"/>
    <mergeCell ref="M62:O62"/>
    <mergeCell ref="P62:R62"/>
    <mergeCell ref="S62:V62"/>
    <mergeCell ref="W62:X62"/>
    <mergeCell ref="Y62:Z62"/>
    <mergeCell ref="G61:I61"/>
    <mergeCell ref="J61:L61"/>
    <mergeCell ref="M61:O61"/>
    <mergeCell ref="P61:R61"/>
    <mergeCell ref="S61:V61"/>
    <mergeCell ref="W61:X61"/>
    <mergeCell ref="A46:A63"/>
    <mergeCell ref="B46:E63"/>
    <mergeCell ref="Y57:Z57"/>
    <mergeCell ref="G58:I58"/>
    <mergeCell ref="J58:L58"/>
    <mergeCell ref="M58:O58"/>
    <mergeCell ref="P58:R58"/>
    <mergeCell ref="S58:V58"/>
    <mergeCell ref="W58:X58"/>
    <mergeCell ref="Y58:Z58"/>
    <mergeCell ref="G57:I57"/>
    <mergeCell ref="J57:L57"/>
    <mergeCell ref="M57:O57"/>
    <mergeCell ref="P57:R57"/>
    <mergeCell ref="S57:V57"/>
    <mergeCell ref="W57:X57"/>
    <mergeCell ref="Y55:Z55"/>
    <mergeCell ref="G56:I56"/>
    <mergeCell ref="J56:L56"/>
    <mergeCell ref="M56:O56"/>
    <mergeCell ref="P56:R56"/>
    <mergeCell ref="S56:V56"/>
    <mergeCell ref="W56:X56"/>
    <mergeCell ref="Y56:Z56"/>
    <mergeCell ref="G55:I55"/>
    <mergeCell ref="J55:L55"/>
    <mergeCell ref="M55:O55"/>
    <mergeCell ref="P55:R55"/>
    <mergeCell ref="S55:V55"/>
    <mergeCell ref="W55:X55"/>
    <mergeCell ref="Y53:Z53"/>
    <mergeCell ref="G54:I54"/>
    <mergeCell ref="J54:L54"/>
    <mergeCell ref="M54:O54"/>
    <mergeCell ref="P54:R54"/>
    <mergeCell ref="S54:V54"/>
    <mergeCell ref="W54:X54"/>
    <mergeCell ref="Y54:Z54"/>
    <mergeCell ref="G53:I53"/>
    <mergeCell ref="J53:L53"/>
    <mergeCell ref="M53:O53"/>
    <mergeCell ref="P53:R53"/>
    <mergeCell ref="S53:V53"/>
    <mergeCell ref="W53:X53"/>
    <mergeCell ref="Y51:Z51"/>
    <mergeCell ref="G52:I52"/>
    <mergeCell ref="J52:L52"/>
    <mergeCell ref="M52:O52"/>
    <mergeCell ref="P52:R52"/>
    <mergeCell ref="S52:V52"/>
    <mergeCell ref="W52:X52"/>
    <mergeCell ref="Y52:Z52"/>
    <mergeCell ref="G51:I51"/>
    <mergeCell ref="J51:L51"/>
    <mergeCell ref="M51:O51"/>
    <mergeCell ref="P51:R51"/>
    <mergeCell ref="S51:V51"/>
    <mergeCell ref="W51:X51"/>
    <mergeCell ref="Y49:Z49"/>
    <mergeCell ref="G50:I50"/>
    <mergeCell ref="J50:L50"/>
    <mergeCell ref="M50:O50"/>
    <mergeCell ref="P50:R50"/>
    <mergeCell ref="S50:V50"/>
    <mergeCell ref="W50:X50"/>
    <mergeCell ref="Y50:Z50"/>
    <mergeCell ref="G49:I49"/>
    <mergeCell ref="J49:L49"/>
    <mergeCell ref="M49:O49"/>
    <mergeCell ref="P49:R49"/>
    <mergeCell ref="S49:V49"/>
    <mergeCell ref="W49:X49"/>
    <mergeCell ref="Y47:Z47"/>
    <mergeCell ref="G48:I48"/>
    <mergeCell ref="J48:L48"/>
    <mergeCell ref="M48:O48"/>
    <mergeCell ref="P48:R48"/>
    <mergeCell ref="S48:V48"/>
    <mergeCell ref="W48:X48"/>
    <mergeCell ref="Y48:Z48"/>
    <mergeCell ref="P46:R46"/>
    <mergeCell ref="S46:V46"/>
    <mergeCell ref="W46:X46"/>
    <mergeCell ref="Y46:Z46"/>
    <mergeCell ref="G47:I47"/>
    <mergeCell ref="J47:L47"/>
    <mergeCell ref="M47:O47"/>
    <mergeCell ref="P47:R47"/>
    <mergeCell ref="S47:V47"/>
    <mergeCell ref="W47:X47"/>
    <mergeCell ref="G46:I46"/>
    <mergeCell ref="J46:L46"/>
    <mergeCell ref="M46:O46"/>
    <mergeCell ref="A38:A45"/>
    <mergeCell ref="B44:C44"/>
    <mergeCell ref="D44:F44"/>
    <mergeCell ref="G44:L45"/>
    <mergeCell ref="B43:F43"/>
    <mergeCell ref="G43:L43"/>
    <mergeCell ref="M43:Q43"/>
    <mergeCell ref="R43:V43"/>
    <mergeCell ref="W43:Z43"/>
    <mergeCell ref="B38:B42"/>
    <mergeCell ref="M44:Q45"/>
    <mergeCell ref="R44:V45"/>
    <mergeCell ref="W44:Z45"/>
    <mergeCell ref="B45:C45"/>
    <mergeCell ref="D45:F45"/>
    <mergeCell ref="U41:V41"/>
    <mergeCell ref="W41:X41"/>
    <mergeCell ref="Y41:Z41"/>
    <mergeCell ref="G42:H42"/>
    <mergeCell ref="I42:J42"/>
    <mergeCell ref="K42:L42"/>
    <mergeCell ref="M42:N42"/>
    <mergeCell ref="O42:P42"/>
    <mergeCell ref="Q42:R42"/>
    <mergeCell ref="S42:T42"/>
    <mergeCell ref="U42:V42"/>
    <mergeCell ref="W42:X42"/>
    <mergeCell ref="Y42:Z42"/>
    <mergeCell ref="C41:D42"/>
    <mergeCell ref="E41:F42"/>
    <mergeCell ref="G41:H41"/>
    <mergeCell ref="I41:J41"/>
    <mergeCell ref="K41:L41"/>
    <mergeCell ref="M41:N41"/>
    <mergeCell ref="O41:P41"/>
    <mergeCell ref="Q41:R41"/>
    <mergeCell ref="S41:T41"/>
    <mergeCell ref="Y39:Z39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C38:F39"/>
    <mergeCell ref="U40:V40"/>
    <mergeCell ref="W40:X40"/>
    <mergeCell ref="Y40:Z40"/>
    <mergeCell ref="B34:C37"/>
    <mergeCell ref="D34:F34"/>
    <mergeCell ref="D35:F35"/>
    <mergeCell ref="D36:F36"/>
    <mergeCell ref="D37:F37"/>
    <mergeCell ref="Y38:Z38"/>
    <mergeCell ref="G39:H39"/>
    <mergeCell ref="I39:J39"/>
    <mergeCell ref="K39:L39"/>
    <mergeCell ref="M39:N39"/>
    <mergeCell ref="O39:P39"/>
    <mergeCell ref="Q39:R39"/>
    <mergeCell ref="S39:T39"/>
    <mergeCell ref="U39:V39"/>
    <mergeCell ref="W39:X39"/>
    <mergeCell ref="M38:N38"/>
    <mergeCell ref="O38:P38"/>
    <mergeCell ref="Q38:R38"/>
    <mergeCell ref="S38:T38"/>
    <mergeCell ref="U38:V38"/>
    <mergeCell ref="W38:X38"/>
    <mergeCell ref="G38:H38"/>
    <mergeCell ref="I38:J38"/>
    <mergeCell ref="K38:L38"/>
    <mergeCell ref="W33:X33"/>
    <mergeCell ref="Y33:Z33"/>
    <mergeCell ref="C32:F32"/>
    <mergeCell ref="G32:H32"/>
    <mergeCell ref="I32:J32"/>
    <mergeCell ref="K32:L32"/>
    <mergeCell ref="M32:N32"/>
    <mergeCell ref="O32:P32"/>
    <mergeCell ref="Q32:R32"/>
    <mergeCell ref="S32:T32"/>
    <mergeCell ref="U32:V32"/>
    <mergeCell ref="C33:F33"/>
    <mergeCell ref="G33:H33"/>
    <mergeCell ref="I33:J33"/>
    <mergeCell ref="K33:L33"/>
    <mergeCell ref="M33:N33"/>
    <mergeCell ref="O33:P33"/>
    <mergeCell ref="Q33:R33"/>
    <mergeCell ref="S33:T33"/>
    <mergeCell ref="U33:V33"/>
    <mergeCell ref="M31:N31"/>
    <mergeCell ref="O31:P31"/>
    <mergeCell ref="Q31:R31"/>
    <mergeCell ref="S31:T31"/>
    <mergeCell ref="U31:V31"/>
    <mergeCell ref="W31:X31"/>
    <mergeCell ref="Y31:Z31"/>
    <mergeCell ref="W32:X32"/>
    <mergeCell ref="Y32:Z32"/>
    <mergeCell ref="W29:X29"/>
    <mergeCell ref="Y29:Z29"/>
    <mergeCell ref="I30:J30"/>
    <mergeCell ref="K30:L30"/>
    <mergeCell ref="M30:N30"/>
    <mergeCell ref="O30:P30"/>
    <mergeCell ref="Q30:R30"/>
    <mergeCell ref="S30:T30"/>
    <mergeCell ref="U30:V30"/>
    <mergeCell ref="W30:X30"/>
    <mergeCell ref="Y30:Z30"/>
    <mergeCell ref="W27:X27"/>
    <mergeCell ref="Y27:Z27"/>
    <mergeCell ref="I28:J28"/>
    <mergeCell ref="K28:L28"/>
    <mergeCell ref="M28:N28"/>
    <mergeCell ref="O28:P28"/>
    <mergeCell ref="Q28:R28"/>
    <mergeCell ref="S28:T28"/>
    <mergeCell ref="U28:V28"/>
    <mergeCell ref="W28:X28"/>
    <mergeCell ref="Y28:Z28"/>
    <mergeCell ref="W25:X25"/>
    <mergeCell ref="Y25:Z25"/>
    <mergeCell ref="I26:J26"/>
    <mergeCell ref="K26:L26"/>
    <mergeCell ref="M26:N26"/>
    <mergeCell ref="O26:P26"/>
    <mergeCell ref="Q26:R26"/>
    <mergeCell ref="S26:T26"/>
    <mergeCell ref="U26:V26"/>
    <mergeCell ref="K25:L25"/>
    <mergeCell ref="M25:N25"/>
    <mergeCell ref="O25:P25"/>
    <mergeCell ref="Q25:R25"/>
    <mergeCell ref="S25:T25"/>
    <mergeCell ref="U25:V25"/>
    <mergeCell ref="W26:X26"/>
    <mergeCell ref="Y26:Z26"/>
    <mergeCell ref="A25:A37"/>
    <mergeCell ref="B25:B33"/>
    <mergeCell ref="C25:C30"/>
    <mergeCell ref="I25:J25"/>
    <mergeCell ref="I22:L22"/>
    <mergeCell ref="M22:P22"/>
    <mergeCell ref="Q22:R22"/>
    <mergeCell ref="I23:L23"/>
    <mergeCell ref="M23:P23"/>
    <mergeCell ref="Q23:R23"/>
    <mergeCell ref="I27:J27"/>
    <mergeCell ref="K27:L27"/>
    <mergeCell ref="M27:N27"/>
    <mergeCell ref="O27:P27"/>
    <mergeCell ref="Q27:R27"/>
    <mergeCell ref="I29:J29"/>
    <mergeCell ref="K29:L29"/>
    <mergeCell ref="M29:N29"/>
    <mergeCell ref="O29:P29"/>
    <mergeCell ref="Q29:R29"/>
    <mergeCell ref="C31:F31"/>
    <mergeCell ref="G31:H31"/>
    <mergeCell ref="I31:J31"/>
    <mergeCell ref="K31:L31"/>
    <mergeCell ref="S13:Z14"/>
    <mergeCell ref="I14:J14"/>
    <mergeCell ref="I15:J15"/>
    <mergeCell ref="M15:R16"/>
    <mergeCell ref="S15:Z16"/>
    <mergeCell ref="I16:J16"/>
    <mergeCell ref="A12:A24"/>
    <mergeCell ref="B11:F11"/>
    <mergeCell ref="G11:I11"/>
    <mergeCell ref="J11:L11"/>
    <mergeCell ref="M11:O11"/>
    <mergeCell ref="P11:R11"/>
    <mergeCell ref="S11:Z11"/>
    <mergeCell ref="W20:Z20"/>
    <mergeCell ref="Q21:R21"/>
    <mergeCell ref="S21:V21"/>
    <mergeCell ref="W21:Z21"/>
    <mergeCell ref="S17:Z18"/>
    <mergeCell ref="I18:J18"/>
    <mergeCell ref="B19:C24"/>
    <mergeCell ref="I19:L19"/>
    <mergeCell ref="M19:R19"/>
    <mergeCell ref="S19:V19"/>
    <mergeCell ref="W19:Z19"/>
    <mergeCell ref="P9:R9"/>
    <mergeCell ref="S9:Z9"/>
    <mergeCell ref="B10:F10"/>
    <mergeCell ref="G10:I10"/>
    <mergeCell ref="J10:L10"/>
    <mergeCell ref="M10:O10"/>
    <mergeCell ref="P10:R10"/>
    <mergeCell ref="S10:Z10"/>
    <mergeCell ref="A1:I5"/>
    <mergeCell ref="J1:Q5"/>
    <mergeCell ref="R1:Z5"/>
    <mergeCell ref="A6:Z6"/>
    <mergeCell ref="B7:C9"/>
    <mergeCell ref="D7:O9"/>
    <mergeCell ref="P7:R7"/>
    <mergeCell ref="S7:Z7"/>
    <mergeCell ref="P8:R8"/>
    <mergeCell ref="S8:Z8"/>
  </mergeCells>
  <conditionalFormatting sqref="G41:Z42">
    <cfRule type="containsText" dxfId="5" priority="5" operator="containsText" text="0X">
      <formula>NOT(ISERROR(SEARCH("0X",G41)))</formula>
    </cfRule>
  </conditionalFormatting>
  <conditionalFormatting sqref="G47:Z62">
    <cfRule type="cellIs" dxfId="4" priority="4" operator="equal">
      <formula>0</formula>
    </cfRule>
  </conditionalFormatting>
  <conditionalFormatting sqref="G31:Z33">
    <cfRule type="containsText" dxfId="3" priority="3" operator="containsText" text="0X">
      <formula>NOT(ISERROR(SEARCH("0X",G31)))</formula>
    </cfRule>
  </conditionalFormatting>
  <conditionalFormatting sqref="D26:Z30">
    <cfRule type="cellIs" dxfId="2" priority="2" operator="equal">
      <formula>0</formula>
    </cfRule>
  </conditionalFormatting>
  <pageMargins left="0.70866141732283472" right="0" top="0.19685039370078741" bottom="0.19685039370078741" header="0" footer="0"/>
  <pageSetup paperSize="9" scale="51" orientation="portrait" horizontalDpi="300" verticalDpi="300" r:id="rId1"/>
  <headerFooter alignWithMargins="0"/>
  <rowBreaks count="7" manualBreakCount="7">
    <brk id="65" max="25" man="1"/>
    <brk id="140" max="15" man="1"/>
    <brk id="216" max="15" man="1"/>
    <brk id="291" max="15" man="1"/>
    <brk id="366" max="15" man="1"/>
    <brk id="441" max="15" man="1"/>
    <brk id="516" max="15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showGridLines="0" view="pageBreakPreview" zoomScale="85" zoomScaleNormal="100" zoomScaleSheetLayoutView="85" workbookViewId="0">
      <selection activeCell="X26" sqref="X26"/>
    </sheetView>
  </sheetViews>
  <sheetFormatPr defaultRowHeight="12.75" x14ac:dyDescent="0.2"/>
  <cols>
    <col min="1" max="1" width="5" style="10" customWidth="1"/>
    <col min="2" max="3" width="4.28515625" style="10" customWidth="1"/>
    <col min="4" max="4" width="4.28515625" style="79" customWidth="1"/>
    <col min="5" max="8" width="4.28515625" style="10" customWidth="1"/>
    <col min="9" max="21" width="7.28515625" style="10" customWidth="1"/>
    <col min="22" max="25" width="9.140625" style="78"/>
    <col min="26" max="16384" width="9.140625" style="10"/>
  </cols>
  <sheetData>
    <row r="1" spans="1:28" ht="15.75" x14ac:dyDescent="0.25">
      <c r="A1" s="25"/>
      <c r="B1" s="26"/>
      <c r="C1" s="26"/>
      <c r="D1" s="126"/>
      <c r="E1" s="26"/>
      <c r="F1" s="26"/>
      <c r="G1" s="26"/>
      <c r="H1" s="27"/>
      <c r="I1" s="1103" t="s">
        <v>147</v>
      </c>
      <c r="J1" s="1103"/>
      <c r="K1" s="1103"/>
      <c r="L1" s="1103"/>
      <c r="M1" s="1103"/>
      <c r="N1" s="1103"/>
      <c r="O1" s="1103"/>
      <c r="P1" s="1103"/>
      <c r="Q1" s="1103"/>
      <c r="R1" s="1103"/>
      <c r="S1" s="1103"/>
      <c r="T1" s="1103"/>
      <c r="U1" s="1104"/>
    </row>
    <row r="2" spans="1:28" x14ac:dyDescent="0.2">
      <c r="A2" s="123"/>
      <c r="B2" s="11"/>
      <c r="C2" s="11"/>
      <c r="D2" s="122"/>
      <c r="E2" s="11"/>
      <c r="F2" s="11"/>
      <c r="G2" s="11"/>
      <c r="H2" s="121"/>
      <c r="I2" s="125" t="s">
        <v>63</v>
      </c>
      <c r="J2" s="28" t="e">
        <f>#REF!</f>
        <v>#REF!</v>
      </c>
      <c r="K2" s="28"/>
      <c r="L2" s="28"/>
      <c r="M2" s="28"/>
      <c r="N2" s="28"/>
      <c r="O2" s="28"/>
      <c r="P2" s="124"/>
      <c r="Q2" s="6" t="s">
        <v>64</v>
      </c>
      <c r="R2" s="6"/>
      <c r="S2" s="64" t="str">
        <f>Dizayn!$C$3</f>
        <v>Keşan Şantiyesi</v>
      </c>
      <c r="T2" s="26"/>
      <c r="U2" s="65"/>
      <c r="V2" s="10"/>
      <c r="W2" s="10"/>
      <c r="X2" s="10"/>
      <c r="Y2" s="10"/>
    </row>
    <row r="3" spans="1:28" x14ac:dyDescent="0.2">
      <c r="A3" s="123"/>
      <c r="B3" s="11"/>
      <c r="C3" s="11"/>
      <c r="D3" s="122"/>
      <c r="E3" s="11"/>
      <c r="F3" s="11"/>
      <c r="G3" s="11"/>
      <c r="H3" s="121"/>
      <c r="I3" s="120" t="s">
        <v>76</v>
      </c>
      <c r="J3" s="61" t="str">
        <f>Dizayn!$C$4</f>
        <v>Keşan Ayrımı - Korudağı - Gelibolu Bölünmüş Yolu İşi</v>
      </c>
      <c r="K3" s="119"/>
      <c r="L3" s="61"/>
      <c r="M3" s="61"/>
      <c r="N3" s="61"/>
      <c r="O3" s="61"/>
      <c r="P3" s="4"/>
      <c r="Q3" s="2" t="s">
        <v>65</v>
      </c>
      <c r="R3" s="2"/>
      <c r="S3" s="1110" t="e">
        <f>#REF!</f>
        <v>#REF!</v>
      </c>
      <c r="T3" s="1110"/>
      <c r="U3" s="118"/>
      <c r="V3" s="10"/>
      <c r="W3" s="10"/>
      <c r="X3" s="10"/>
      <c r="Y3" s="10"/>
    </row>
    <row r="4" spans="1:28" x14ac:dyDescent="0.2">
      <c r="A4" s="117"/>
      <c r="B4" s="12"/>
      <c r="C4" s="12"/>
      <c r="D4" s="116"/>
      <c r="E4" s="12"/>
      <c r="F4" s="12"/>
      <c r="G4" s="12"/>
      <c r="H4" s="13"/>
      <c r="I4" s="115" t="s">
        <v>66</v>
      </c>
      <c r="J4" s="1105" t="e">
        <f>#REF!&amp;" "&amp;#REF!</f>
        <v>#REF!</v>
      </c>
      <c r="K4" s="1105"/>
      <c r="L4" s="1105"/>
      <c r="M4" s="1105"/>
      <c r="N4" s="1105"/>
      <c r="O4" s="1105"/>
      <c r="P4" s="114"/>
      <c r="Q4" s="14" t="s">
        <v>262</v>
      </c>
      <c r="R4" s="14"/>
      <c r="S4" s="66" t="str">
        <f>Dizayn!$C$6</f>
        <v>Binder</v>
      </c>
      <c r="T4" s="11"/>
      <c r="U4" s="67"/>
      <c r="V4" s="10"/>
      <c r="W4" s="10"/>
      <c r="X4" s="10"/>
      <c r="Y4" s="10"/>
    </row>
    <row r="5" spans="1:28" ht="25.5" customHeight="1" x14ac:dyDescent="0.2">
      <c r="A5" s="1106" t="s">
        <v>161</v>
      </c>
      <c r="B5" s="1107" t="s">
        <v>133</v>
      </c>
      <c r="C5" s="1108"/>
      <c r="D5" s="1106" t="s">
        <v>148</v>
      </c>
      <c r="E5" s="1107" t="s">
        <v>149</v>
      </c>
      <c r="F5" s="1109"/>
      <c r="G5" s="1109"/>
      <c r="H5" s="1108"/>
      <c r="I5" s="1099" t="s">
        <v>261</v>
      </c>
      <c r="J5" s="1099" t="s">
        <v>260</v>
      </c>
      <c r="K5" s="1099" t="s">
        <v>259</v>
      </c>
      <c r="L5" s="1099" t="s">
        <v>157</v>
      </c>
      <c r="M5" s="1099" t="s">
        <v>172</v>
      </c>
      <c r="N5" s="1099" t="s">
        <v>258</v>
      </c>
      <c r="O5" s="1099" t="s">
        <v>164</v>
      </c>
      <c r="P5" s="1101" t="s">
        <v>150</v>
      </c>
      <c r="Q5" s="1099" t="s">
        <v>169</v>
      </c>
      <c r="R5" s="1099" t="s">
        <v>165</v>
      </c>
      <c r="S5" s="1099" t="s">
        <v>174</v>
      </c>
      <c r="T5" s="1099" t="s">
        <v>257</v>
      </c>
      <c r="U5" s="1099" t="s">
        <v>173</v>
      </c>
      <c r="V5" s="10"/>
      <c r="W5" s="10"/>
      <c r="X5" s="10"/>
      <c r="Y5" s="10"/>
    </row>
    <row r="6" spans="1:28" x14ac:dyDescent="0.2">
      <c r="A6" s="1102"/>
      <c r="B6" s="113" t="s">
        <v>256</v>
      </c>
      <c r="C6" s="113" t="s">
        <v>255</v>
      </c>
      <c r="D6" s="1102"/>
      <c r="E6" s="113">
        <v>1</v>
      </c>
      <c r="F6" s="113">
        <v>2</v>
      </c>
      <c r="G6" s="113">
        <v>3</v>
      </c>
      <c r="H6" s="113" t="s">
        <v>151</v>
      </c>
      <c r="I6" s="1100"/>
      <c r="J6" s="1100"/>
      <c r="K6" s="1100"/>
      <c r="L6" s="1100"/>
      <c r="M6" s="1100"/>
      <c r="N6" s="1100"/>
      <c r="O6" s="1100"/>
      <c r="P6" s="1102"/>
      <c r="Q6" s="1100"/>
      <c r="R6" s="1100"/>
      <c r="S6" s="1100"/>
      <c r="T6" s="1100"/>
      <c r="U6" s="1100"/>
      <c r="V6" s="10"/>
      <c r="W6" s="10"/>
      <c r="X6" s="10"/>
      <c r="Y6" s="10"/>
    </row>
    <row r="7" spans="1:28" x14ac:dyDescent="0.2">
      <c r="A7" s="71">
        <v>1</v>
      </c>
      <c r="B7" s="99" t="str">
        <f>IF(I7="","",IFERROR('3 Ekstrasyon'!$AE$20,"-"))</f>
        <v/>
      </c>
      <c r="C7" s="99" t="str">
        <f>IF(I7="","",IFERROR('3 Ekstrasyon'!$AE$22,"-"))</f>
        <v/>
      </c>
      <c r="D7" s="109"/>
      <c r="E7" s="105"/>
      <c r="F7" s="105"/>
      <c r="G7" s="108"/>
      <c r="H7" s="95" t="str">
        <f>IF(G7="","",SUM(E7+F7+G7)/3)</f>
        <v/>
      </c>
      <c r="I7" s="106"/>
      <c r="J7" s="105"/>
      <c r="K7" s="105"/>
      <c r="L7" s="95" t="str">
        <f>IF(K7="","",K7-J7)</f>
        <v/>
      </c>
      <c r="M7" s="103" t="str">
        <f>IF(I7="","",I7/L7)</f>
        <v/>
      </c>
      <c r="N7" s="1077" t="str">
        <f>IFERROR((100+B10)/((100/$N$33)+(B10/$H$31)),"")</f>
        <v/>
      </c>
      <c r="O7" s="1080" t="str">
        <f>IFERROR((N7-M10)/N7*100,"")</f>
        <v/>
      </c>
      <c r="P7" s="1083" t="str">
        <f>IFERROR(100-((M10*(100-C10))/$H$34),"")</f>
        <v/>
      </c>
      <c r="Q7" s="1083" t="str">
        <f>IFERROR((P7-O7)/P7*100,"")</f>
        <v/>
      </c>
      <c r="R7" s="110"/>
      <c r="S7" s="109"/>
      <c r="T7" s="103" t="str">
        <f>IFERROR(VLOOKUP(H7,KATSAYILAR!A1:B201,2)/1000,"")</f>
        <v/>
      </c>
      <c r="U7" s="100" t="str">
        <f>IFERROR(S7*T7,"")</f>
        <v/>
      </c>
      <c r="V7" s="10"/>
      <c r="W7" s="72" t="s">
        <v>193</v>
      </c>
      <c r="X7" s="1063" t="s">
        <v>200</v>
      </c>
      <c r="Y7" s="1063"/>
      <c r="Z7" s="1063"/>
      <c r="AA7" s="1063"/>
      <c r="AB7" s="1064"/>
    </row>
    <row r="8" spans="1:28" x14ac:dyDescent="0.2">
      <c r="A8" s="71">
        <v>2</v>
      </c>
      <c r="B8" s="99" t="str">
        <f>IF(I8="","",IFERROR('3 Ekstrasyon'!$AE$20,"-"))</f>
        <v/>
      </c>
      <c r="C8" s="99" t="str">
        <f>IF(I8="","",IFERROR('3 Ekstrasyon'!$AE$22,"-"))</f>
        <v/>
      </c>
      <c r="D8" s="109"/>
      <c r="E8" s="105"/>
      <c r="F8" s="105"/>
      <c r="G8" s="108"/>
      <c r="H8" s="95" t="str">
        <f>IF(G8="","",SUM(E8+F8+G8)/3)</f>
        <v/>
      </c>
      <c r="I8" s="106"/>
      <c r="J8" s="105"/>
      <c r="K8" s="105"/>
      <c r="L8" s="95" t="str">
        <f>IF(K8="","",K8-J8)</f>
        <v/>
      </c>
      <c r="M8" s="103" t="str">
        <f>IF(I8="","",I8/L8)</f>
        <v/>
      </c>
      <c r="N8" s="1078"/>
      <c r="O8" s="1081"/>
      <c r="P8" s="1084"/>
      <c r="Q8" s="1084"/>
      <c r="R8" s="110"/>
      <c r="S8" s="109"/>
      <c r="T8" s="103" t="str">
        <f>IFERROR(VLOOKUP(H8,KATSAYILAR!A2:B202,2)/1000,"")</f>
        <v/>
      </c>
      <c r="U8" s="100" t="str">
        <f>IFERROR(S8*T8,"")</f>
        <v/>
      </c>
      <c r="V8" s="10"/>
      <c r="W8" s="70" t="s">
        <v>194</v>
      </c>
      <c r="X8" s="1059" t="s">
        <v>192</v>
      </c>
      <c r="Y8" s="1059"/>
      <c r="Z8" s="1059"/>
      <c r="AA8" s="1059"/>
      <c r="AB8" s="1060"/>
    </row>
    <row r="9" spans="1:28" x14ac:dyDescent="0.2">
      <c r="A9" s="71">
        <v>3</v>
      </c>
      <c r="B9" s="99" t="str">
        <f>IF(I9="","",IFERROR('3 Ekstrasyon'!$AE$20,"-"))</f>
        <v/>
      </c>
      <c r="C9" s="99" t="str">
        <f>IF(I9="","",IFERROR('3 Ekstrasyon'!$AE$22,"-"))</f>
        <v/>
      </c>
      <c r="D9" s="109"/>
      <c r="E9" s="105"/>
      <c r="F9" s="105"/>
      <c r="G9" s="108"/>
      <c r="H9" s="95" t="str">
        <f>IF(G9="","",SUM(E9+F9+G9)/3)</f>
        <v/>
      </c>
      <c r="I9" s="106"/>
      <c r="J9" s="105"/>
      <c r="K9" s="105"/>
      <c r="L9" s="95" t="str">
        <f>IF(K9="","",K9-J9)</f>
        <v/>
      </c>
      <c r="M9" s="103" t="str">
        <f>IF(I9="","",I9/L9)</f>
        <v/>
      </c>
      <c r="N9" s="1078"/>
      <c r="O9" s="1081"/>
      <c r="P9" s="1084"/>
      <c r="Q9" s="1084"/>
      <c r="R9" s="110"/>
      <c r="S9" s="109"/>
      <c r="T9" s="103" t="str">
        <f>IFERROR(VLOOKUP(H9,KATSAYILAR!A3:B203,2)/1000,"")</f>
        <v/>
      </c>
      <c r="U9" s="100" t="str">
        <f>IFERROR(S9*T9,"")</f>
        <v/>
      </c>
      <c r="V9" s="10"/>
      <c r="W9" s="70" t="s">
        <v>152</v>
      </c>
      <c r="X9" s="1059" t="s">
        <v>198</v>
      </c>
      <c r="Y9" s="1059"/>
      <c r="Z9" s="1059"/>
      <c r="AA9" s="1059"/>
      <c r="AB9" s="1060"/>
    </row>
    <row r="10" spans="1:28" x14ac:dyDescent="0.2">
      <c r="A10" s="71" t="s">
        <v>254</v>
      </c>
      <c r="B10" s="99" t="str">
        <f>IF(B7="","",IFERROR('3 Ekstrasyon'!$AE$20,"-"))</f>
        <v/>
      </c>
      <c r="C10" s="99" t="str">
        <f>IF(C7="","",IFERROR('3 Ekstrasyon'!$AE$22,"-"))</f>
        <v/>
      </c>
      <c r="D10" s="109" t="str">
        <f>IF(D7="","",AVERAGE(D7:D9))</f>
        <v/>
      </c>
      <c r="E10" s="105"/>
      <c r="F10" s="105"/>
      <c r="G10" s="108"/>
      <c r="H10" s="107"/>
      <c r="I10" s="112"/>
      <c r="J10" s="111"/>
      <c r="K10" s="104"/>
      <c r="L10" s="95"/>
      <c r="M10" s="103" t="str">
        <f>IFERROR(IF(M7="","",AVERAGEIFS(M7:M9,M7:M9,"&gt;"&amp;#REF!-0.02,M7:M9,"&lt;"&amp;#REF!+0.02)),ROUND(AVERAGE(M7:M9),3)&amp;" X")</f>
        <v/>
      </c>
      <c r="N10" s="1079"/>
      <c r="O10" s="1082"/>
      <c r="P10" s="1085"/>
      <c r="Q10" s="1085"/>
      <c r="R10" s="99" t="str">
        <f>IFERROR(AVERAGE(R7:R9),"")</f>
        <v/>
      </c>
      <c r="S10" s="102"/>
      <c r="T10" s="101"/>
      <c r="U10" s="100" t="str">
        <f>IFERROR(AVERAGE(U7:U9),"")</f>
        <v/>
      </c>
      <c r="V10" s="10"/>
      <c r="W10" s="70" t="s">
        <v>195</v>
      </c>
      <c r="X10" s="1059" t="s">
        <v>204</v>
      </c>
      <c r="Y10" s="1059"/>
      <c r="Z10" s="1059"/>
      <c r="AA10" s="1059"/>
      <c r="AB10" s="1060"/>
    </row>
    <row r="11" spans="1:28" x14ac:dyDescent="0.2">
      <c r="A11" s="71">
        <v>4</v>
      </c>
      <c r="B11" s="99" t="str">
        <f>IF(I11="","",IFERROR('3 Ekstrasyon'!$AE$20,"-"))</f>
        <v/>
      </c>
      <c r="C11" s="99" t="str">
        <f>IF(I11="","",IFERROR('3 Ekstrasyon'!$AE$22,"-"))</f>
        <v/>
      </c>
      <c r="D11" s="109"/>
      <c r="E11" s="105"/>
      <c r="F11" s="105"/>
      <c r="G11" s="108"/>
      <c r="H11" s="95" t="str">
        <f>IF(G11="","",SUM(E11+F11+G11)/3)</f>
        <v/>
      </c>
      <c r="I11" s="106"/>
      <c r="J11" s="105"/>
      <c r="K11" s="105"/>
      <c r="L11" s="95" t="str">
        <f>IF(K11="","",K11-J11)</f>
        <v/>
      </c>
      <c r="M11" s="103" t="str">
        <f>IF(I11="","",I11/L11)</f>
        <v/>
      </c>
      <c r="N11" s="1077" t="str">
        <f>IFERROR((100+B14)/((100/$N$33)+(B14/$H$31)),"")</f>
        <v/>
      </c>
      <c r="O11" s="1080" t="str">
        <f>IFERROR((N11-M14)/N11*100,"")</f>
        <v/>
      </c>
      <c r="P11" s="1083" t="str">
        <f>IFERROR(100-((M14*(100-C14))/$H$34),"")</f>
        <v/>
      </c>
      <c r="Q11" s="1083" t="str">
        <f>IFERROR((P11-O11)/P11*100,"")</f>
        <v/>
      </c>
      <c r="R11" s="110"/>
      <c r="S11" s="109"/>
      <c r="T11" s="103" t="str">
        <f>IFERROR(VLOOKUP(H11,KATSAYILAR!A5:B205,2)/1000,"")</f>
        <v/>
      </c>
      <c r="U11" s="100" t="str">
        <f>IFERROR(S11*T11,"")</f>
        <v/>
      </c>
      <c r="V11" s="10"/>
      <c r="W11" s="70" t="s">
        <v>60</v>
      </c>
      <c r="X11" s="1059" t="s">
        <v>202</v>
      </c>
      <c r="Y11" s="1059"/>
      <c r="Z11" s="1059"/>
      <c r="AA11" s="1059"/>
      <c r="AB11" s="1060"/>
    </row>
    <row r="12" spans="1:28" x14ac:dyDescent="0.2">
      <c r="A12" s="71">
        <v>5</v>
      </c>
      <c r="B12" s="99" t="str">
        <f>IF(I12="","",IFERROR('3 Ekstrasyon'!$AE$20,"-"))</f>
        <v/>
      </c>
      <c r="C12" s="99" t="str">
        <f>IF(I12="","",IFERROR('3 Ekstrasyon'!$AE$22,"-"))</f>
        <v/>
      </c>
      <c r="D12" s="109"/>
      <c r="E12" s="105"/>
      <c r="F12" s="105"/>
      <c r="G12" s="108"/>
      <c r="H12" s="95" t="str">
        <f>IF(G12="","",SUM(E12+F12+G12)/3)</f>
        <v/>
      </c>
      <c r="I12" s="106"/>
      <c r="J12" s="105"/>
      <c r="K12" s="105"/>
      <c r="L12" s="95" t="str">
        <f>IF(K12="","",K12-J12)</f>
        <v/>
      </c>
      <c r="M12" s="103" t="str">
        <f>IF(I12="","",I12/L12)</f>
        <v/>
      </c>
      <c r="N12" s="1078"/>
      <c r="O12" s="1081"/>
      <c r="P12" s="1084"/>
      <c r="Q12" s="1084"/>
      <c r="R12" s="110"/>
      <c r="S12" s="109"/>
      <c r="T12" s="103" t="str">
        <f>IFERROR(VLOOKUP(H12,KATSAYILAR!A6:B206,2)/1000,"")</f>
        <v/>
      </c>
      <c r="U12" s="100" t="str">
        <f>IFERROR(S12*T12,"")</f>
        <v/>
      </c>
      <c r="V12" s="10"/>
      <c r="W12" s="70" t="s">
        <v>196</v>
      </c>
      <c r="X12" s="1059" t="s">
        <v>203</v>
      </c>
      <c r="Y12" s="1059"/>
      <c r="Z12" s="1059"/>
      <c r="AA12" s="1059"/>
      <c r="AB12" s="1060"/>
    </row>
    <row r="13" spans="1:28" x14ac:dyDescent="0.2">
      <c r="A13" s="71">
        <v>6</v>
      </c>
      <c r="B13" s="99" t="str">
        <f>IF(I13="","",IFERROR('3 Ekstrasyon'!$AE$20,"-"))</f>
        <v/>
      </c>
      <c r="C13" s="99" t="str">
        <f>IF(I13="","",IFERROR('3 Ekstrasyon'!$AE$22,"-"))</f>
        <v/>
      </c>
      <c r="D13" s="109"/>
      <c r="E13" s="105"/>
      <c r="F13" s="105"/>
      <c r="G13" s="108"/>
      <c r="H13" s="95" t="str">
        <f>IF(G13="","",SUM(E13+F13+G13)/3)</f>
        <v/>
      </c>
      <c r="I13" s="106"/>
      <c r="J13" s="105"/>
      <c r="K13" s="105"/>
      <c r="L13" s="95" t="str">
        <f>IF(K13="","",K13-J13)</f>
        <v/>
      </c>
      <c r="M13" s="103" t="str">
        <f>IF(I13="","",I13/L13)</f>
        <v/>
      </c>
      <c r="N13" s="1078"/>
      <c r="O13" s="1081"/>
      <c r="P13" s="1084"/>
      <c r="Q13" s="1084"/>
      <c r="R13" s="110"/>
      <c r="S13" s="109"/>
      <c r="T13" s="103" t="str">
        <f>IFERROR(VLOOKUP(H13,KATSAYILAR!A7:B207,2)/1000,"")</f>
        <v/>
      </c>
      <c r="U13" s="100" t="str">
        <f>IFERROR(S13*T13,"")</f>
        <v/>
      </c>
      <c r="V13" s="10"/>
      <c r="W13" s="70" t="s">
        <v>197</v>
      </c>
      <c r="X13" s="1059" t="s">
        <v>201</v>
      </c>
      <c r="Y13" s="1059"/>
      <c r="Z13" s="1059"/>
      <c r="AA13" s="1059"/>
      <c r="AB13" s="1060"/>
    </row>
    <row r="14" spans="1:28" ht="13.5" thickBot="1" x14ac:dyDescent="0.25">
      <c r="A14" s="71" t="s">
        <v>254</v>
      </c>
      <c r="B14" s="99" t="str">
        <f>IF(B11="","",IFERROR('3 Ekstrasyon'!$AE$20,"-"))</f>
        <v/>
      </c>
      <c r="C14" s="99" t="str">
        <f>IF(C11="","",IFERROR('3 Ekstrasyon'!$AE$22,"-"))</f>
        <v/>
      </c>
      <c r="D14" s="109" t="str">
        <f>IF(D11="","",AVERAGE(D11:D13))</f>
        <v/>
      </c>
      <c r="E14" s="105"/>
      <c r="F14" s="105"/>
      <c r="G14" s="108"/>
      <c r="H14" s="107"/>
      <c r="I14" s="112"/>
      <c r="J14" s="111"/>
      <c r="K14" s="104"/>
      <c r="L14" s="95"/>
      <c r="M14" s="103" t="str">
        <f>IFERROR(IF(M11="","",AVERAGEIFS(M11:M13,M11:M13,"&gt;"&amp;#REF!-0.02,M11:M13,"&lt;"&amp;#REF!+0.02)),ROUND(AVERAGE(M11:M13),3)&amp;" X")</f>
        <v/>
      </c>
      <c r="N14" s="1079"/>
      <c r="O14" s="1082"/>
      <c r="P14" s="1085"/>
      <c r="Q14" s="1085"/>
      <c r="R14" s="99" t="str">
        <f>IFERROR(AVERAGE(R11:R13),"")</f>
        <v/>
      </c>
      <c r="S14" s="102"/>
      <c r="T14" s="101"/>
      <c r="U14" s="100" t="str">
        <f>IFERROR(AVERAGE(U11:U13),"")</f>
        <v/>
      </c>
      <c r="V14" s="10"/>
      <c r="W14" s="73" t="s">
        <v>122</v>
      </c>
      <c r="X14" s="1061" t="s">
        <v>223</v>
      </c>
      <c r="Y14" s="1061"/>
      <c r="Z14" s="1061"/>
      <c r="AA14" s="1061"/>
      <c r="AB14" s="1062"/>
    </row>
    <row r="15" spans="1:28" ht="13.5" thickTop="1" x14ac:dyDescent="0.2">
      <c r="A15" s="71">
        <v>7</v>
      </c>
      <c r="B15" s="99" t="str">
        <f>IF(I15="","",IFERROR('3 Ekstrasyon'!$AE$20,"-"))</f>
        <v/>
      </c>
      <c r="C15" s="99" t="str">
        <f>IF(I15="","",IFERROR('3 Ekstrasyon'!$AE$22,"-"))</f>
        <v/>
      </c>
      <c r="D15" s="109"/>
      <c r="E15" s="105"/>
      <c r="F15" s="105"/>
      <c r="G15" s="108"/>
      <c r="H15" s="95" t="str">
        <f>IF(G15="","",SUM(E15+F15+G15)/3)</f>
        <v/>
      </c>
      <c r="I15" s="106"/>
      <c r="J15" s="105"/>
      <c r="K15" s="105"/>
      <c r="L15" s="95" t="str">
        <f>IF(K15="","",K15-J15)</f>
        <v/>
      </c>
      <c r="M15" s="103" t="str">
        <f>IF(I15="","",I15/L15)</f>
        <v/>
      </c>
      <c r="N15" s="1077" t="str">
        <f>IFERROR((100+B18)/((100/$N$33)+(B18/$H$31)),"")</f>
        <v/>
      </c>
      <c r="O15" s="1080" t="str">
        <f>IFERROR((N15-M18)/N15*100,"")</f>
        <v/>
      </c>
      <c r="P15" s="1083" t="str">
        <f>IFERROR(100-((M18*(100-C18))/$H$34),"")</f>
        <v/>
      </c>
      <c r="Q15" s="1083" t="str">
        <f>IFERROR((P15-O15)/P15*100,"")</f>
        <v/>
      </c>
      <c r="R15" s="110"/>
      <c r="S15" s="109"/>
      <c r="T15" s="103" t="str">
        <f>IFERROR(VLOOKUP(H15,KATSAYILAR!A9:B209,2)/1000,"")</f>
        <v/>
      </c>
      <c r="U15" s="100" t="str">
        <f>IFERROR(S15*T15,"")</f>
        <v/>
      </c>
      <c r="V15" s="10"/>
      <c r="W15" s="10"/>
      <c r="X15" s="10"/>
      <c r="Y15" s="10"/>
    </row>
    <row r="16" spans="1:28" ht="12.75" customHeight="1" x14ac:dyDescent="0.2">
      <c r="A16" s="71">
        <v>8</v>
      </c>
      <c r="B16" s="99" t="str">
        <f>IF(I16="","",IFERROR('3 Ekstrasyon'!$AE$20,"-"))</f>
        <v/>
      </c>
      <c r="C16" s="99" t="str">
        <f>IF(I16="","",IFERROR('3 Ekstrasyon'!$AE$22,"-"))</f>
        <v/>
      </c>
      <c r="D16" s="109"/>
      <c r="E16" s="105"/>
      <c r="F16" s="105"/>
      <c r="G16" s="108"/>
      <c r="H16" s="95" t="str">
        <f>IF(G16="","",SUM(E16+F16+G16)/3)</f>
        <v/>
      </c>
      <c r="I16" s="106"/>
      <c r="J16" s="105"/>
      <c r="K16" s="105"/>
      <c r="L16" s="95" t="str">
        <f>IF(K16="","",K16-J16)</f>
        <v/>
      </c>
      <c r="M16" s="103" t="str">
        <f>IF(I16="","",I16/L16)</f>
        <v/>
      </c>
      <c r="N16" s="1078"/>
      <c r="O16" s="1081"/>
      <c r="P16" s="1084"/>
      <c r="Q16" s="1084"/>
      <c r="R16" s="110"/>
      <c r="S16" s="109"/>
      <c r="T16" s="103" t="str">
        <f>IFERROR(VLOOKUP(H16,KATSAYILAR!A10:B210,2)/1000,"")</f>
        <v/>
      </c>
      <c r="U16" s="100" t="str">
        <f>IFERROR(S16*T16,"")</f>
        <v/>
      </c>
      <c r="V16" s="10"/>
      <c r="W16" s="10"/>
      <c r="X16" s="10"/>
      <c r="Y16" s="10"/>
    </row>
    <row r="17" spans="1:25" x14ac:dyDescent="0.2">
      <c r="A17" s="71">
        <v>9</v>
      </c>
      <c r="B17" s="99" t="str">
        <f>IF(I17="","",IFERROR('3 Ekstrasyon'!$AE$20,"-"))</f>
        <v/>
      </c>
      <c r="C17" s="99" t="str">
        <f>IF(I17="","",IFERROR('3 Ekstrasyon'!$AE$22,"-"))</f>
        <v/>
      </c>
      <c r="D17" s="109"/>
      <c r="E17" s="105"/>
      <c r="F17" s="105"/>
      <c r="G17" s="108"/>
      <c r="H17" s="95" t="str">
        <f>IF(G17="","",SUM(E17+F17+G17)/3)</f>
        <v/>
      </c>
      <c r="I17" s="106"/>
      <c r="J17" s="105"/>
      <c r="K17" s="105"/>
      <c r="L17" s="95" t="str">
        <f>IF(K17="","",K17-J17)</f>
        <v/>
      </c>
      <c r="M17" s="103" t="str">
        <f>IF(I17="","",I17/L17)</f>
        <v/>
      </c>
      <c r="N17" s="1078"/>
      <c r="O17" s="1081"/>
      <c r="P17" s="1084"/>
      <c r="Q17" s="1084"/>
      <c r="R17" s="110"/>
      <c r="S17" s="109"/>
      <c r="T17" s="103" t="str">
        <f>IFERROR(VLOOKUP(H17,KATSAYILAR!A11:B211,2)/1000,"")</f>
        <v/>
      </c>
      <c r="U17" s="100" t="str">
        <f>IFERROR(S17*T17,"")</f>
        <v/>
      </c>
      <c r="V17" s="10"/>
      <c r="W17" s="10"/>
      <c r="X17" s="10"/>
      <c r="Y17" s="10"/>
    </row>
    <row r="18" spans="1:25" x14ac:dyDescent="0.2">
      <c r="A18" s="71" t="s">
        <v>254</v>
      </c>
      <c r="B18" s="99" t="str">
        <f>IF(B15="","",IFERROR('3 Ekstrasyon'!$AE$20,"-"))</f>
        <v/>
      </c>
      <c r="C18" s="99" t="str">
        <f>IF(C15="","",IFERROR('3 Ekstrasyon'!$AE$22,"-"))</f>
        <v/>
      </c>
      <c r="D18" s="109" t="str">
        <f>IF(D15="","",AVERAGE(D15:D17))</f>
        <v/>
      </c>
      <c r="E18" s="105"/>
      <c r="F18" s="105"/>
      <c r="G18" s="108"/>
      <c r="H18" s="107"/>
      <c r="I18" s="106"/>
      <c r="J18" s="105"/>
      <c r="K18" s="104"/>
      <c r="L18" s="95"/>
      <c r="M18" s="103" t="str">
        <f>IFERROR(IF(M15="","",AVERAGEIFS(M15:M17,M15:M17,"&gt;"&amp;#REF!-0.02,M15:M17,"&lt;"&amp;#REF!+0.02)),ROUND(AVERAGE(M15:M17),3)&amp;" X")</f>
        <v/>
      </c>
      <c r="N18" s="1079"/>
      <c r="O18" s="1082"/>
      <c r="P18" s="1085"/>
      <c r="Q18" s="1085"/>
      <c r="R18" s="99" t="str">
        <f>IFERROR(AVERAGE(R15:R17),"")</f>
        <v/>
      </c>
      <c r="S18" s="102"/>
      <c r="T18" s="101"/>
      <c r="U18" s="100" t="str">
        <f>IFERROR(AVERAGE(U15:U17),"")</f>
        <v/>
      </c>
      <c r="V18" s="10"/>
      <c r="W18" s="10"/>
      <c r="X18" s="10"/>
      <c r="Y18" s="10"/>
    </row>
    <row r="19" spans="1:25" x14ac:dyDescent="0.2">
      <c r="A19" s="71">
        <v>10</v>
      </c>
      <c r="B19" s="99" t="str">
        <f>IF(I19="","",IFERROR('3 Ekstrasyon'!$AE$20,"-"))</f>
        <v/>
      </c>
      <c r="C19" s="99" t="str">
        <f>IF(I19="","",IFERROR('3 Ekstrasyon'!$AE$22,"-"))</f>
        <v/>
      </c>
      <c r="D19" s="109"/>
      <c r="E19" s="105"/>
      <c r="F19" s="105"/>
      <c r="G19" s="108"/>
      <c r="H19" s="95" t="str">
        <f>IF(G19="","",SUM(E19+F19+G19)/3)</f>
        <v/>
      </c>
      <c r="I19" s="106"/>
      <c r="J19" s="105"/>
      <c r="K19" s="105"/>
      <c r="L19" s="95" t="str">
        <f>IF(K19="","",K19-J19)</f>
        <v/>
      </c>
      <c r="M19" s="103" t="str">
        <f>IF(I19="","",I19/L19)</f>
        <v/>
      </c>
      <c r="N19" s="1077" t="str">
        <f>IFERROR((100+B22)/((100/$N$33)+(B22/$H$31)),"")</f>
        <v/>
      </c>
      <c r="O19" s="1080" t="str">
        <f>IFERROR((N19-M22)/N19*100,"")</f>
        <v/>
      </c>
      <c r="P19" s="1083" t="str">
        <f>IFERROR(100-((M22*(100-C22))/$H$34),"")</f>
        <v/>
      </c>
      <c r="Q19" s="1083" t="str">
        <f>IFERROR((P19-O19)/P19*100,"")</f>
        <v/>
      </c>
      <c r="R19" s="110"/>
      <c r="S19" s="109"/>
      <c r="T19" s="103" t="str">
        <f>IFERROR(VLOOKUP(H19,KATSAYILAR!A13:B213,2)/1000,"")</f>
        <v/>
      </c>
      <c r="U19" s="100" t="str">
        <f>IFERROR(S19*T19,"")</f>
        <v/>
      </c>
      <c r="V19" s="10"/>
      <c r="W19" s="10"/>
      <c r="X19" s="10"/>
      <c r="Y19" s="10"/>
    </row>
    <row r="20" spans="1:25" x14ac:dyDescent="0.2">
      <c r="A20" s="71">
        <v>11</v>
      </c>
      <c r="B20" s="99" t="str">
        <f>IF(I20="","",IFERROR('3 Ekstrasyon'!$AE$20,"-"))</f>
        <v/>
      </c>
      <c r="C20" s="99" t="str">
        <f>IF(I20="","",IFERROR('3 Ekstrasyon'!$AE$22,"-"))</f>
        <v/>
      </c>
      <c r="D20" s="109"/>
      <c r="E20" s="105"/>
      <c r="F20" s="105"/>
      <c r="G20" s="108"/>
      <c r="H20" s="95" t="str">
        <f>IF(G20="","",SUM(E20+F20+G20)/3)</f>
        <v/>
      </c>
      <c r="I20" s="106"/>
      <c r="J20" s="105"/>
      <c r="K20" s="105"/>
      <c r="L20" s="95" t="str">
        <f>IF(K20="","",K20-J20)</f>
        <v/>
      </c>
      <c r="M20" s="103" t="str">
        <f>IF(I20="","",I20/L20)</f>
        <v/>
      </c>
      <c r="N20" s="1078"/>
      <c r="O20" s="1081"/>
      <c r="P20" s="1084"/>
      <c r="Q20" s="1084"/>
      <c r="R20" s="110"/>
      <c r="S20" s="109"/>
      <c r="T20" s="103" t="str">
        <f>IFERROR(VLOOKUP(H20,KATSAYILAR!A14:B214,2)/1000,"")</f>
        <v/>
      </c>
      <c r="U20" s="100" t="str">
        <f>IFERROR(S20*T20,"")</f>
        <v/>
      </c>
      <c r="V20" s="10"/>
      <c r="W20" s="10"/>
      <c r="X20" s="10"/>
      <c r="Y20" s="10"/>
    </row>
    <row r="21" spans="1:25" x14ac:dyDescent="0.2">
      <c r="A21" s="71">
        <v>12</v>
      </c>
      <c r="B21" s="99" t="str">
        <f>IF(I21="","",IFERROR('3 Ekstrasyon'!$AE$20,"-"))</f>
        <v/>
      </c>
      <c r="C21" s="99" t="str">
        <f>IF(I21="","",IFERROR('3 Ekstrasyon'!$AE$22,"-"))</f>
        <v/>
      </c>
      <c r="D21" s="109"/>
      <c r="E21" s="105"/>
      <c r="F21" s="105"/>
      <c r="G21" s="108"/>
      <c r="H21" s="95" t="str">
        <f>IF(G21="","",SUM(E21+F21+G21)/3)</f>
        <v/>
      </c>
      <c r="I21" s="106"/>
      <c r="J21" s="105"/>
      <c r="K21" s="105"/>
      <c r="L21" s="95" t="str">
        <f>IF(K21="","",K21-J21)</f>
        <v/>
      </c>
      <c r="M21" s="103" t="str">
        <f>IF(I21="","",I21/L21)</f>
        <v/>
      </c>
      <c r="N21" s="1078"/>
      <c r="O21" s="1081"/>
      <c r="P21" s="1084"/>
      <c r="Q21" s="1084"/>
      <c r="R21" s="110"/>
      <c r="S21" s="109"/>
      <c r="T21" s="103" t="str">
        <f>IFERROR(VLOOKUP(H21,KATSAYILAR!A15:B215,2)/1000,"")</f>
        <v/>
      </c>
      <c r="U21" s="100" t="str">
        <f>IFERROR(S21*T21,"")</f>
        <v/>
      </c>
      <c r="V21" s="10"/>
      <c r="W21" s="10"/>
      <c r="X21" s="10"/>
      <c r="Y21" s="10"/>
    </row>
    <row r="22" spans="1:25" x14ac:dyDescent="0.2">
      <c r="A22" s="71" t="s">
        <v>254</v>
      </c>
      <c r="B22" s="99" t="str">
        <f>IF(B19="","",IFERROR('3 Ekstrasyon'!$AE$20,"-"))</f>
        <v/>
      </c>
      <c r="C22" s="99" t="str">
        <f>IF(C19="","",IFERROR('3 Ekstrasyon'!$AE$22,"-"))</f>
        <v/>
      </c>
      <c r="D22" s="109" t="str">
        <f>IF(D19="","",AVERAGE(D19:D21))</f>
        <v/>
      </c>
      <c r="E22" s="105"/>
      <c r="F22" s="105"/>
      <c r="G22" s="108"/>
      <c r="H22" s="107"/>
      <c r="I22" s="106"/>
      <c r="J22" s="105"/>
      <c r="K22" s="104"/>
      <c r="L22" s="95"/>
      <c r="M22" s="103" t="str">
        <f>IFERROR(IF(M19="","",AVERAGEIFS(M19:M21,M19:M21,"&gt;"&amp;#REF!-0.02,M19:M21,"&lt;"&amp;#REF!+0.02)),ROUND(AVERAGE(M19:M21),3)&amp;" X")</f>
        <v/>
      </c>
      <c r="N22" s="1079"/>
      <c r="O22" s="1082"/>
      <c r="P22" s="1085"/>
      <c r="Q22" s="1085"/>
      <c r="R22" s="99" t="str">
        <f>IFERROR(AVERAGE(R19:R21),"")</f>
        <v/>
      </c>
      <c r="S22" s="102"/>
      <c r="T22" s="101"/>
      <c r="U22" s="100" t="str">
        <f>IFERROR(AVERAGE(U19:U21),"")</f>
        <v/>
      </c>
      <c r="V22" s="10"/>
      <c r="W22" s="10"/>
      <c r="X22" s="10"/>
      <c r="Y22" s="10"/>
    </row>
    <row r="23" spans="1:25" x14ac:dyDescent="0.2">
      <c r="A23" s="71">
        <v>13</v>
      </c>
      <c r="B23" s="99" t="str">
        <f>IF(I23="","",IFERROR('3 Ekstrasyon'!$AE$20,"-"))</f>
        <v/>
      </c>
      <c r="C23" s="99" t="str">
        <f>IF(I23="","",IFERROR('3 Ekstrasyon'!$AE$22,"-"))</f>
        <v/>
      </c>
      <c r="D23" s="109"/>
      <c r="E23" s="105"/>
      <c r="F23" s="105"/>
      <c r="G23" s="108"/>
      <c r="H23" s="95" t="str">
        <f>IF(G23="","",SUM(E23+F23+G23)/3)</f>
        <v/>
      </c>
      <c r="I23" s="106"/>
      <c r="J23" s="105"/>
      <c r="K23" s="105"/>
      <c r="L23" s="95" t="str">
        <f>IF(K23="","",K23-J23)</f>
        <v/>
      </c>
      <c r="M23" s="103" t="str">
        <f>IF(I23="","",I23/L23)</f>
        <v/>
      </c>
      <c r="N23" s="1077" t="str">
        <f>IFERROR((100+B26)/((100/$N$33)+(B26/$H$31)),"")</f>
        <v/>
      </c>
      <c r="O23" s="1080" t="str">
        <f>IFERROR((N23-M26)/N23*100,"")</f>
        <v/>
      </c>
      <c r="P23" s="1083" t="str">
        <f>IFERROR(100-((M26*(100-C26))/$H$34),"")</f>
        <v/>
      </c>
      <c r="Q23" s="1083" t="str">
        <f>IFERROR((P23-O23)/P23*100,"")</f>
        <v/>
      </c>
      <c r="R23" s="110"/>
      <c r="S23" s="109"/>
      <c r="T23" s="103" t="str">
        <f>IFERROR(VLOOKUP(H23,KATSAYILAR!A17:B217,2)/1000,"")</f>
        <v/>
      </c>
      <c r="U23" s="100" t="str">
        <f>IFERROR(S23*T23,"")</f>
        <v/>
      </c>
      <c r="V23" s="10"/>
      <c r="W23" s="10"/>
      <c r="X23" s="10"/>
      <c r="Y23" s="10"/>
    </row>
    <row r="24" spans="1:25" x14ac:dyDescent="0.2">
      <c r="A24" s="71">
        <v>14</v>
      </c>
      <c r="B24" s="99" t="str">
        <f>IF(I24="","",IFERROR('3 Ekstrasyon'!$AE$20,"-"))</f>
        <v/>
      </c>
      <c r="C24" s="99" t="str">
        <f>IF(I24="","",IFERROR('3 Ekstrasyon'!$AE$22,"-"))</f>
        <v/>
      </c>
      <c r="D24" s="109"/>
      <c r="E24" s="105"/>
      <c r="F24" s="105"/>
      <c r="G24" s="108"/>
      <c r="H24" s="95" t="str">
        <f>IF(G24="","",SUM(E24+F24+G24)/3)</f>
        <v/>
      </c>
      <c r="I24" s="106"/>
      <c r="J24" s="105"/>
      <c r="K24" s="105"/>
      <c r="L24" s="95" t="str">
        <f>IF(K24="","",K24-J24)</f>
        <v/>
      </c>
      <c r="M24" s="103" t="str">
        <f>IF(I24="","",I24/L24)</f>
        <v/>
      </c>
      <c r="N24" s="1078"/>
      <c r="O24" s="1081"/>
      <c r="P24" s="1084"/>
      <c r="Q24" s="1084"/>
      <c r="R24" s="110"/>
      <c r="S24" s="109"/>
      <c r="T24" s="103" t="str">
        <f>IFERROR(VLOOKUP(H24,KATSAYILAR!A18:B218,2)/1000,"")</f>
        <v/>
      </c>
      <c r="U24" s="100" t="str">
        <f>IFERROR(S24*T24,"")</f>
        <v/>
      </c>
      <c r="V24" s="10"/>
      <c r="W24" s="10"/>
      <c r="X24" s="10"/>
      <c r="Y24" s="10"/>
    </row>
    <row r="25" spans="1:25" x14ac:dyDescent="0.2">
      <c r="A25" s="71">
        <v>15</v>
      </c>
      <c r="B25" s="99" t="str">
        <f>IF(I25="","",IFERROR('3 Ekstrasyon'!$AE$20,"-"))</f>
        <v/>
      </c>
      <c r="C25" s="99" t="str">
        <f>IF(I25="","",IFERROR('3 Ekstrasyon'!$AE$22,"-"))</f>
        <v/>
      </c>
      <c r="D25" s="109"/>
      <c r="E25" s="105"/>
      <c r="F25" s="105"/>
      <c r="G25" s="108"/>
      <c r="H25" s="95" t="str">
        <f>IF(G25="","",SUM(E25+F25+G25)/3)</f>
        <v/>
      </c>
      <c r="I25" s="106"/>
      <c r="J25" s="105"/>
      <c r="K25" s="105"/>
      <c r="L25" s="95" t="str">
        <f>IF(K25="","",K25-J25)</f>
        <v/>
      </c>
      <c r="M25" s="103" t="str">
        <f>IF(I25="","",I25/L25)</f>
        <v/>
      </c>
      <c r="N25" s="1078"/>
      <c r="O25" s="1081"/>
      <c r="P25" s="1084"/>
      <c r="Q25" s="1084"/>
      <c r="R25" s="110"/>
      <c r="S25" s="109"/>
      <c r="T25" s="103" t="str">
        <f>IFERROR(VLOOKUP(H25,KATSAYILAR!A19:B219,2)/1000,"")</f>
        <v/>
      </c>
      <c r="U25" s="100" t="str">
        <f>IFERROR(S25*T25,"")</f>
        <v/>
      </c>
      <c r="V25" s="10"/>
      <c r="W25" s="10"/>
      <c r="X25" s="10"/>
      <c r="Y25" s="10"/>
    </row>
    <row r="26" spans="1:25" x14ac:dyDescent="0.2">
      <c r="A26" s="71" t="s">
        <v>254</v>
      </c>
      <c r="B26" s="99" t="str">
        <f>IF(B23="","",IFERROR('3 Ekstrasyon'!$AE$20,"-"))</f>
        <v/>
      </c>
      <c r="C26" s="99" t="str">
        <f>IF(C23="","",IFERROR('3 Ekstrasyon'!$AE$22,"-"))</f>
        <v/>
      </c>
      <c r="D26" s="109" t="str">
        <f>IF(D23="","",AVERAGE(D23:D25))</f>
        <v/>
      </c>
      <c r="E26" s="105"/>
      <c r="F26" s="105"/>
      <c r="G26" s="108"/>
      <c r="H26" s="107"/>
      <c r="I26" s="106"/>
      <c r="J26" s="105"/>
      <c r="K26" s="104"/>
      <c r="L26" s="95"/>
      <c r="M26" s="103" t="str">
        <f>IFERROR(IF(M23="","",AVERAGEIFS(M23:M25,M23:M25,"&gt;"&amp;#REF!-0.02,M23:M25,"&lt;"&amp;#REF!+0.02)),ROUND(AVERAGE(M23:M25),3)&amp;" X")</f>
        <v/>
      </c>
      <c r="N26" s="1079"/>
      <c r="O26" s="1082"/>
      <c r="P26" s="1085"/>
      <c r="Q26" s="1085"/>
      <c r="R26" s="99" t="str">
        <f>IFERROR(AVERAGE(R23:R25),"")</f>
        <v/>
      </c>
      <c r="S26" s="102"/>
      <c r="T26" s="101"/>
      <c r="U26" s="100" t="str">
        <f>IFERROR(AVERAGE(U23:U25),"")</f>
        <v/>
      </c>
      <c r="V26" s="10"/>
      <c r="W26" s="10"/>
      <c r="X26" s="10"/>
      <c r="Y26" s="10"/>
    </row>
    <row r="27" spans="1:25" x14ac:dyDescent="0.2">
      <c r="A27" s="71" t="s">
        <v>253</v>
      </c>
      <c r="B27" s="99" t="str">
        <f>IF(I27="","",IFERROR('3 Ekstrasyon'!$AE$20,"-"))</f>
        <v/>
      </c>
      <c r="C27" s="99" t="str">
        <f>IF(I27="","",IFERROR('3 Ekstrasyon'!$AE$22,"-"))</f>
        <v/>
      </c>
      <c r="D27" s="60" t="str">
        <f>IFERROR(AVERAGE(D10,D14,D18,D22,D26),"")</f>
        <v/>
      </c>
      <c r="E27" s="95"/>
      <c r="F27" s="95"/>
      <c r="G27" s="98"/>
      <c r="H27" s="95"/>
      <c r="I27" s="97"/>
      <c r="J27" s="95"/>
      <c r="K27" s="96"/>
      <c r="L27" s="95"/>
      <c r="M27" s="59" t="str">
        <f>IFERROR(AVERAGE(M10,M14,M18,M22,M26),"")</f>
        <v/>
      </c>
      <c r="N27" s="59" t="str">
        <f>IF(N7="","",AVERAGE(N7,N11,N15,N19,N23))</f>
        <v/>
      </c>
      <c r="O27" s="69" t="str">
        <f>IF(O7="","",AVERAGE(O7,O11,O15,O19,O23))</f>
        <v/>
      </c>
      <c r="P27" s="58" t="str">
        <f>IF(P7="","",AVERAGE(P7,P11,P15,P19,P23))</f>
        <v/>
      </c>
      <c r="Q27" s="58" t="str">
        <f>IF(Q7="","",AVERAGE(Q7,Q11,Q15,Q19,Q23))</f>
        <v/>
      </c>
      <c r="R27" s="69" t="str">
        <f>IF(R10="","",AVERAGE(R10,R14,R18,R22,R26))</f>
        <v/>
      </c>
      <c r="S27" s="59"/>
      <c r="T27" s="59"/>
      <c r="U27" s="60" t="str">
        <f>IFERROR(AVERAGE(U10,U14,U18,U22,U26),"")</f>
        <v/>
      </c>
      <c r="V27" s="10"/>
      <c r="W27" s="10"/>
      <c r="X27" s="10"/>
      <c r="Y27" s="10"/>
    </row>
    <row r="28" spans="1:25" s="85" customFormat="1" ht="10.5" customHeight="1" x14ac:dyDescent="0.2">
      <c r="A28" s="1093" t="str">
        <f>Dizayn!$C$6&amp;" dizaynı için kriterler"</f>
        <v>Binder dizaynı için kriterler</v>
      </c>
      <c r="B28" s="1094"/>
      <c r="C28" s="1094"/>
      <c r="D28" s="1094"/>
      <c r="E28" s="1094"/>
      <c r="F28" s="1094"/>
      <c r="G28" s="1094"/>
      <c r="H28" s="1094"/>
      <c r="I28" s="1094"/>
      <c r="J28" s="1094"/>
      <c r="K28" s="1094"/>
      <c r="L28" s="1095"/>
      <c r="M28" s="1086" t="s">
        <v>252</v>
      </c>
      <c r="N28" s="1086"/>
      <c r="O28" s="94" t="str">
        <f>Dizayn!$E$65</f>
        <v>4-6</v>
      </c>
      <c r="P28" s="93" t="str">
        <f>Dizayn!$E$66</f>
        <v>13-15</v>
      </c>
      <c r="Q28" s="92" t="str">
        <f>Dizayn!$E$67</f>
        <v>60-75</v>
      </c>
      <c r="R28" s="91" t="str">
        <f>Dizayn!$E$68</f>
        <v>2-4</v>
      </c>
      <c r="S28" s="1087"/>
      <c r="T28" s="1088"/>
      <c r="U28" s="90" t="str">
        <f>Dizayn!$E$69</f>
        <v>min. 750</v>
      </c>
    </row>
    <row r="29" spans="1:25" s="85" customFormat="1" ht="10.5" customHeight="1" x14ac:dyDescent="0.2">
      <c r="A29" s="1096"/>
      <c r="B29" s="1097"/>
      <c r="C29" s="1097"/>
      <c r="D29" s="1097"/>
      <c r="E29" s="1097"/>
      <c r="F29" s="1097"/>
      <c r="G29" s="1097"/>
      <c r="H29" s="1097"/>
      <c r="I29" s="1097"/>
      <c r="J29" s="1097"/>
      <c r="K29" s="1097"/>
      <c r="L29" s="1098"/>
      <c r="M29" s="1086" t="s">
        <v>251</v>
      </c>
      <c r="N29" s="1086"/>
      <c r="O29" s="89">
        <f>Dizayn!$G$65</f>
        <v>0</v>
      </c>
      <c r="P29" s="88">
        <f>Dizayn!$G$66</f>
        <v>0</v>
      </c>
      <c r="Q29" s="88">
        <f>Dizayn!$G$67</f>
        <v>0</v>
      </c>
      <c r="R29" s="87">
        <f>Dizayn!$G$68</f>
        <v>0</v>
      </c>
      <c r="S29" s="1089"/>
      <c r="T29" s="1090"/>
      <c r="U29" s="86">
        <f>Dizayn!$G$69</f>
        <v>0</v>
      </c>
    </row>
    <row r="30" spans="1:25" ht="11.25" customHeight="1" x14ac:dyDescent="0.2">
      <c r="A30" s="1065" t="s">
        <v>219</v>
      </c>
      <c r="B30" s="1066"/>
      <c r="C30" s="1066"/>
      <c r="D30" s="1066"/>
      <c r="E30" s="1066"/>
      <c r="F30" s="1066"/>
      <c r="G30" s="1067"/>
      <c r="H30" s="1091">
        <f>Dizayn!$F$45</f>
        <v>53.7</v>
      </c>
      <c r="I30" s="1092"/>
      <c r="J30" s="82" t="s">
        <v>250</v>
      </c>
      <c r="K30" s="81"/>
      <c r="L30" s="81" t="s">
        <v>249</v>
      </c>
      <c r="M30" s="80"/>
      <c r="N30" s="84">
        <f>Dizayn!$F$50</f>
        <v>57.4</v>
      </c>
      <c r="O30" s="82" t="s">
        <v>248</v>
      </c>
      <c r="P30" s="81"/>
      <c r="Q30" s="81"/>
      <c r="R30" s="81"/>
      <c r="S30" s="80"/>
      <c r="T30" s="1070" t="str">
        <f>Dizayn!$F$56&amp;" - "&amp;Dizayn!$F$57</f>
        <v>2,601 - 2,693</v>
      </c>
      <c r="U30" s="1071"/>
      <c r="V30" s="10"/>
      <c r="W30" s="10"/>
      <c r="X30" s="10"/>
      <c r="Y30" s="10"/>
    </row>
    <row r="31" spans="1:25" ht="11.25" customHeight="1" x14ac:dyDescent="0.2">
      <c r="A31" s="1065" t="s">
        <v>247</v>
      </c>
      <c r="B31" s="1066"/>
      <c r="C31" s="1066"/>
      <c r="D31" s="1066"/>
      <c r="E31" s="1066"/>
      <c r="F31" s="1066"/>
      <c r="G31" s="1067"/>
      <c r="H31" s="1068">
        <f>Dizayn!$F$46</f>
        <v>1.02</v>
      </c>
      <c r="I31" s="1069"/>
      <c r="J31" s="82" t="s">
        <v>246</v>
      </c>
      <c r="K31" s="81"/>
      <c r="L31" s="81" t="s">
        <v>245</v>
      </c>
      <c r="M31" s="80"/>
      <c r="N31" s="84">
        <f>Dizayn!$F$51</f>
        <v>37.1</v>
      </c>
      <c r="O31" s="82" t="s">
        <v>244</v>
      </c>
      <c r="P31" s="81"/>
      <c r="Q31" s="81"/>
      <c r="R31" s="81"/>
      <c r="S31" s="80"/>
      <c r="T31" s="1070" t="str">
        <f>Dizayn!$F$58&amp;" - "&amp;Dizayn!$F$59</f>
        <v>2,602 - 2,703</v>
      </c>
      <c r="U31" s="1071"/>
      <c r="V31" s="10"/>
      <c r="W31" s="10"/>
      <c r="X31" s="10"/>
      <c r="Y31" s="10"/>
    </row>
    <row r="32" spans="1:25" ht="11.25" customHeight="1" x14ac:dyDescent="0.2">
      <c r="A32" s="1065" t="s">
        <v>243</v>
      </c>
      <c r="B32" s="1066"/>
      <c r="C32" s="1066"/>
      <c r="D32" s="1066"/>
      <c r="E32" s="1066"/>
      <c r="F32" s="1066"/>
      <c r="G32" s="1067"/>
      <c r="H32" s="1072">
        <f>Dizayn!$F$47</f>
        <v>0.67</v>
      </c>
      <c r="I32" s="1073"/>
      <c r="J32" s="82" t="s">
        <v>242</v>
      </c>
      <c r="K32" s="81"/>
      <c r="L32" s="81" t="s">
        <v>241</v>
      </c>
      <c r="M32" s="80"/>
      <c r="N32" s="84">
        <f>Dizayn!$F$52</f>
        <v>5.5</v>
      </c>
      <c r="O32" s="82" t="s">
        <v>240</v>
      </c>
      <c r="P32" s="81"/>
      <c r="Q32" s="81"/>
      <c r="R32" s="81"/>
      <c r="S32" s="80"/>
      <c r="T32" s="1070">
        <f>Dizayn!$F$60</f>
        <v>2.7210000000000001</v>
      </c>
      <c r="U32" s="1071"/>
      <c r="V32" s="10"/>
      <c r="W32" s="10"/>
      <c r="X32" s="10"/>
      <c r="Y32" s="10"/>
    </row>
    <row r="33" spans="1:25" ht="11.25" customHeight="1" x14ac:dyDescent="0.2">
      <c r="A33" s="1065" t="s">
        <v>239</v>
      </c>
      <c r="B33" s="1066"/>
      <c r="C33" s="1066"/>
      <c r="D33" s="1066"/>
      <c r="E33" s="1066"/>
      <c r="F33" s="1066"/>
      <c r="G33" s="1067"/>
      <c r="H33" s="1072">
        <f>Dizayn!$F$63</f>
        <v>4.5999999999999996</v>
      </c>
      <c r="I33" s="1073"/>
      <c r="J33" s="1065" t="s">
        <v>153</v>
      </c>
      <c r="K33" s="1066"/>
      <c r="L33" s="1066"/>
      <c r="M33" s="1067"/>
      <c r="N33" s="83">
        <f>Dizayn!$F$54</f>
        <v>2.653</v>
      </c>
      <c r="O33" s="82" t="s">
        <v>154</v>
      </c>
      <c r="P33" s="81"/>
      <c r="Q33" s="81"/>
      <c r="R33" s="81" t="s">
        <v>238</v>
      </c>
      <c r="S33" s="80"/>
      <c r="T33" s="1070">
        <f>Dizayn!$F$61</f>
        <v>0</v>
      </c>
      <c r="U33" s="1071"/>
      <c r="V33" s="10"/>
      <c r="W33" s="10"/>
      <c r="X33" s="10"/>
      <c r="Y33" s="10"/>
    </row>
    <row r="34" spans="1:25" ht="11.25" customHeight="1" x14ac:dyDescent="0.2">
      <c r="A34" s="1065" t="s">
        <v>237</v>
      </c>
      <c r="B34" s="1066"/>
      <c r="C34" s="1066"/>
      <c r="D34" s="1066"/>
      <c r="E34" s="1066"/>
      <c r="F34" s="1066"/>
      <c r="G34" s="1067"/>
      <c r="H34" s="1068">
        <f>Dizayn!$F$48</f>
        <v>2.6080000000000001</v>
      </c>
      <c r="I34" s="1069"/>
      <c r="J34" s="1065" t="s">
        <v>155</v>
      </c>
      <c r="K34" s="1066"/>
      <c r="L34" s="1066"/>
      <c r="M34" s="1067"/>
      <c r="N34" s="83">
        <f>Dizayn!$F$55</f>
        <v>2.6560000000000001</v>
      </c>
      <c r="O34" s="82" t="s">
        <v>156</v>
      </c>
      <c r="P34" s="81"/>
      <c r="Q34" s="81"/>
      <c r="R34" s="81"/>
      <c r="S34" s="80"/>
      <c r="T34" s="1070">
        <v>75</v>
      </c>
      <c r="U34" s="1071"/>
      <c r="V34" s="10"/>
      <c r="W34" s="10"/>
      <c r="X34" s="10"/>
      <c r="Y34" s="10"/>
    </row>
    <row r="35" spans="1:25" ht="88.5" customHeight="1" x14ac:dyDescent="0.2">
      <c r="A35" s="1074"/>
      <c r="B35" s="1075"/>
      <c r="C35" s="1075"/>
      <c r="D35" s="1075"/>
      <c r="E35" s="1075"/>
      <c r="F35" s="1075"/>
      <c r="G35" s="1075"/>
      <c r="H35" s="1075"/>
      <c r="I35" s="1075"/>
      <c r="J35" s="1075"/>
      <c r="K35" s="1075"/>
      <c r="L35" s="1075"/>
      <c r="M35" s="1075"/>
      <c r="N35" s="1075"/>
      <c r="O35" s="1075"/>
      <c r="P35" s="1075"/>
      <c r="Q35" s="1075"/>
      <c r="R35" s="1075"/>
      <c r="S35" s="1075"/>
      <c r="T35" s="1075"/>
      <c r="U35" s="1076"/>
      <c r="V35" s="10"/>
      <c r="W35" s="10"/>
      <c r="X35" s="10"/>
      <c r="Y35" s="10"/>
    </row>
  </sheetData>
  <mergeCells count="70">
    <mergeCell ref="I1:U1"/>
    <mergeCell ref="J4:O4"/>
    <mergeCell ref="A5:A6"/>
    <mergeCell ref="B5:C5"/>
    <mergeCell ref="D5:D6"/>
    <mergeCell ref="E5:H5"/>
    <mergeCell ref="I5:I6"/>
    <mergeCell ref="J5:J6"/>
    <mergeCell ref="K5:K6"/>
    <mergeCell ref="U5:U6"/>
    <mergeCell ref="S3:T3"/>
    <mergeCell ref="S5:S6"/>
    <mergeCell ref="L5:L6"/>
    <mergeCell ref="M5:M6"/>
    <mergeCell ref="N5:N6"/>
    <mergeCell ref="O5:O6"/>
    <mergeCell ref="N11:N14"/>
    <mergeCell ref="O11:O14"/>
    <mergeCell ref="P11:P14"/>
    <mergeCell ref="Q11:Q14"/>
    <mergeCell ref="T5:T6"/>
    <mergeCell ref="N7:N10"/>
    <mergeCell ref="O7:O10"/>
    <mergeCell ref="P7:P10"/>
    <mergeCell ref="Q7:Q10"/>
    <mergeCell ref="P5:P6"/>
    <mergeCell ref="Q5:Q6"/>
    <mergeCell ref="R5:R6"/>
    <mergeCell ref="N15:N18"/>
    <mergeCell ref="O15:O18"/>
    <mergeCell ref="P15:P18"/>
    <mergeCell ref="Q15:Q18"/>
    <mergeCell ref="A30:G30"/>
    <mergeCell ref="H30:I30"/>
    <mergeCell ref="A28:L29"/>
    <mergeCell ref="N19:N22"/>
    <mergeCell ref="O19:O22"/>
    <mergeCell ref="P19:P22"/>
    <mergeCell ref="Q19:Q22"/>
    <mergeCell ref="T30:U30"/>
    <mergeCell ref="N23:N26"/>
    <mergeCell ref="O23:O26"/>
    <mergeCell ref="P23:P26"/>
    <mergeCell ref="Q23:Q26"/>
    <mergeCell ref="M28:N28"/>
    <mergeCell ref="M29:N29"/>
    <mergeCell ref="S28:T29"/>
    <mergeCell ref="A35:U35"/>
    <mergeCell ref="A33:G33"/>
    <mergeCell ref="H33:I33"/>
    <mergeCell ref="J33:M33"/>
    <mergeCell ref="T33:U33"/>
    <mergeCell ref="A34:G34"/>
    <mergeCell ref="H34:I34"/>
    <mergeCell ref="J34:M34"/>
    <mergeCell ref="T34:U34"/>
    <mergeCell ref="A31:G31"/>
    <mergeCell ref="H31:I31"/>
    <mergeCell ref="T31:U31"/>
    <mergeCell ref="A32:G32"/>
    <mergeCell ref="H32:I32"/>
    <mergeCell ref="T32:U32"/>
    <mergeCell ref="X12:AB12"/>
    <mergeCell ref="X13:AB13"/>
    <mergeCell ref="X14:AB14"/>
    <mergeCell ref="X7:AB7"/>
    <mergeCell ref="X8:AB8"/>
    <mergeCell ref="X9:AB9"/>
    <mergeCell ref="X10:AB10"/>
    <mergeCell ref="X11:AB11"/>
  </mergeCells>
  <conditionalFormatting sqref="M7:M27">
    <cfRule type="containsBlanks" dxfId="1" priority="2">
      <formula>LEN(TRIM(M7))=0</formula>
    </cfRule>
  </conditionalFormatting>
  <conditionalFormatting sqref="M7:M27">
    <cfRule type="cellIs" dxfId="0" priority="23" operator="notBetween">
      <formula>#REF!-0.02</formula>
      <formula>#REF!+0.02</formula>
    </cfRule>
  </conditionalFormatting>
  <pageMargins left="0.70866141732283472" right="0.35433070866141736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10</vt:i4>
      </vt:variant>
      <vt:variant>
        <vt:lpstr>Adlandırılmış Aralıklar</vt:lpstr>
      </vt:variant>
      <vt:variant>
        <vt:i4>14</vt:i4>
      </vt:variant>
    </vt:vector>
  </HeadingPairs>
  <TitlesOfParts>
    <vt:vector size="24" baseType="lpstr">
      <vt:lpstr>KTŞ 2013</vt:lpstr>
      <vt:lpstr>Dizayn</vt:lpstr>
      <vt:lpstr>1 Sıcak Silo</vt:lpstr>
      <vt:lpstr>2 Malaksör</vt:lpstr>
      <vt:lpstr>3 Ekstrasyon</vt:lpstr>
      <vt:lpstr>3 Marshall</vt:lpstr>
      <vt:lpstr>4 Karot Num.</vt:lpstr>
      <vt:lpstr>5 BSK</vt:lpstr>
      <vt:lpstr>Dizayn İçin Marshall</vt:lpstr>
      <vt:lpstr>KATSAYILAR</vt:lpstr>
      <vt:lpstr>'5 BSK'!BSK</vt:lpstr>
      <vt:lpstr>'3 Ekstrasyon'!Ekstraksiyon</vt:lpstr>
      <vt:lpstr>'4 Karot Num.'!Karot</vt:lpstr>
      <vt:lpstr>'2 Malaksör'!Malaksör</vt:lpstr>
      <vt:lpstr>'3 Marshall'!Marshall</vt:lpstr>
      <vt:lpstr>'1 Sıcak Silo'!Sıcak_Silo</vt:lpstr>
      <vt:lpstr>'1 Sıcak Silo'!Yazdırma_Alanı</vt:lpstr>
      <vt:lpstr>'2 Malaksör'!Yazdırma_Alanı</vt:lpstr>
      <vt:lpstr>'3 Ekstrasyon'!Yazdırma_Alanı</vt:lpstr>
      <vt:lpstr>'3 Marshall'!Yazdırma_Alanı</vt:lpstr>
      <vt:lpstr>'4 Karot Num.'!Yazdırma_Alanı</vt:lpstr>
      <vt:lpstr>'5 BSK'!Yazdırma_Alanı</vt:lpstr>
      <vt:lpstr>Dizayn!Yazdırma_Alanı</vt:lpstr>
      <vt:lpstr>'Dizayn İçin Marshall'!Yazdırma_Alanı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Durmaz</dc:creator>
  <cp:lastModifiedBy>Mehmet Durmaz</cp:lastModifiedBy>
  <cp:lastPrinted>2014-05-27T08:11:42Z</cp:lastPrinted>
  <dcterms:created xsi:type="dcterms:W3CDTF">2014-04-30T07:32:04Z</dcterms:created>
  <dcterms:modified xsi:type="dcterms:W3CDTF">2015-04-29T08:07:28Z</dcterms:modified>
</cp:coreProperties>
</file>