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defaultThemeVersion="202300"/>
  <mc:AlternateContent xmlns:mc="http://schemas.openxmlformats.org/markup-compatibility/2006">
    <mc:Choice Requires="x15">
      <x15ac:absPath xmlns:x15ac="http://schemas.microsoft.com/office/spreadsheetml/2010/11/ac" url="Y:\Shared Drive\개발_실험_시험\"/>
    </mc:Choice>
  </mc:AlternateContent>
  <xr:revisionPtr revIDLastSave="0" documentId="13_ncr:1_{E2CC01EE-32DE-42A5-93F5-6B3E72F6BD16}" xr6:coauthVersionLast="47" xr6:coauthVersionMax="47" xr10:uidLastSave="{00000000-0000-0000-0000-000000000000}"/>
  <bookViews>
    <workbookView xWindow="23880" yWindow="15" windowWidth="29040" windowHeight="15840" tabRatio="930" activeTab="2" xr2:uid="{E3D4FBCA-2310-4A34-8564-7ECD020FE353}"/>
  </bookViews>
  <sheets>
    <sheet name="BOM_개발품목" sheetId="27" r:id="rId1"/>
    <sheet name="실험의뢰_장진영" sheetId="23" r:id="rId2"/>
    <sheet name="실험지시_김도균" sheetId="5" r:id="rId3"/>
    <sheet name="품목별_CT_중량_치수" sheetId="20" r:id="rId4"/>
    <sheet name="성형조건표_출력" sheetId="22" r:id="rId5"/>
    <sheet name="작업자_실험지시" sheetId="7" r:id="rId6"/>
    <sheet name="라벨" sheetId="21" r:id="rId7"/>
    <sheet name="출력_vba" sheetId="24" state="hidden" r:id="rId8"/>
  </sheets>
  <externalReferences>
    <externalReference r:id="rId9"/>
    <externalReference r:id="rId10"/>
    <externalReference r:id="rId11"/>
    <externalReference r:id="rId12"/>
    <externalReference r:id="rId13"/>
    <externalReference r:id="rId14"/>
    <externalReference r:id="rId15"/>
  </externalReferences>
  <definedNames>
    <definedName name="_xlnm._FilterDatabase" localSheetId="3" hidden="1">품목별_CT_중량_치수!$A$2:$BW$2</definedName>
    <definedName name="_xleta.N" hidden="1" xlm="1">#NAME?</definedName>
    <definedName name="_xleta.TEXT" hidden="1" xlm="1">#NAME?</definedName>
    <definedName name="ExternalData_1" localSheetId="0" hidden="1">BOM_개발품목!$A$1:$S$228</definedName>
    <definedName name="_xlnm.Print_Area" localSheetId="6">라벨!$A$1:$C$6</definedName>
    <definedName name="_xlnm.Print_Area" localSheetId="4">성형조건표_출력!$A$1:$M$59</definedName>
    <definedName name="_xlnm.Print_Area" localSheetId="5">작업자_실험지시!$A$1:$F$34</definedName>
    <definedName name="_xlnm.Print_Area" localSheetId="7">출력_vba!$A$1:$M$59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23" i="5" l="1"/>
  <c r="L423" i="5" s="1"/>
  <c r="D423" i="5"/>
  <c r="A423" i="5" s="1"/>
  <c r="P423" i="5"/>
  <c r="C424" i="5"/>
  <c r="L424" i="5" s="1"/>
  <c r="D424" i="5"/>
  <c r="A424" i="5" s="1"/>
  <c r="P424" i="5"/>
  <c r="C425" i="5"/>
  <c r="L425" i="5" s="1"/>
  <c r="D425" i="5"/>
  <c r="A425" i="5" s="1"/>
  <c r="P425" i="5"/>
  <c r="C426" i="5"/>
  <c r="L426" i="5" s="1"/>
  <c r="D426" i="5"/>
  <c r="A426" i="5" s="1"/>
  <c r="P426" i="5"/>
  <c r="C427" i="5"/>
  <c r="L427" i="5" s="1"/>
  <c r="D427" i="5"/>
  <c r="A427" i="5" s="1"/>
  <c r="P427" i="5"/>
  <c r="C428" i="5"/>
  <c r="L428" i="5" s="1"/>
  <c r="D428" i="5"/>
  <c r="A428" i="5" s="1"/>
  <c r="P428" i="5"/>
  <c r="C429" i="5"/>
  <c r="L429" i="5" s="1"/>
  <c r="D429" i="5"/>
  <c r="A429" i="5" s="1"/>
  <c r="P429" i="5"/>
  <c r="C430" i="5"/>
  <c r="L430" i="5" s="1"/>
  <c r="D430" i="5"/>
  <c r="A430" i="5" s="1"/>
  <c r="P430" i="5"/>
  <c r="C431" i="5"/>
  <c r="L431" i="5" s="1"/>
  <c r="D431" i="5"/>
  <c r="A431" i="5" s="1"/>
  <c r="P431" i="5"/>
  <c r="C432" i="5"/>
  <c r="L432" i="5" s="1"/>
  <c r="D432" i="5"/>
  <c r="A432" i="5" s="1"/>
  <c r="P432" i="5"/>
  <c r="C433" i="5"/>
  <c r="L433" i="5" s="1"/>
  <c r="D433" i="5"/>
  <c r="A433" i="5" s="1"/>
  <c r="P433" i="5"/>
  <c r="C434" i="5"/>
  <c r="L434" i="5" s="1"/>
  <c r="D434" i="5"/>
  <c r="A434" i="5" s="1"/>
  <c r="P434" i="5"/>
  <c r="C435" i="5"/>
  <c r="L435" i="5" s="1"/>
  <c r="D435" i="5"/>
  <c r="A435" i="5" s="1"/>
  <c r="P435" i="5"/>
  <c r="C436" i="5"/>
  <c r="L436" i="5" s="1"/>
  <c r="D436" i="5"/>
  <c r="A436" i="5" s="1"/>
  <c r="P436" i="5"/>
  <c r="C437" i="5"/>
  <c r="L437" i="5" s="1"/>
  <c r="D437" i="5"/>
  <c r="A437" i="5" s="1"/>
  <c r="P437" i="5"/>
  <c r="C438" i="5"/>
  <c r="L438" i="5" s="1"/>
  <c r="D438" i="5"/>
  <c r="A438" i="5" s="1"/>
  <c r="P438" i="5"/>
  <c r="C439" i="5"/>
  <c r="L439" i="5" s="1"/>
  <c r="D439" i="5"/>
  <c r="A439" i="5" s="1"/>
  <c r="P439" i="5"/>
  <c r="C440" i="5"/>
  <c r="L440" i="5" s="1"/>
  <c r="D440" i="5"/>
  <c r="A440" i="5" s="1"/>
  <c r="P440" i="5"/>
  <c r="C441" i="5"/>
  <c r="L441" i="5" s="1"/>
  <c r="D441" i="5"/>
  <c r="A441" i="5" s="1"/>
  <c r="P441" i="5"/>
  <c r="C442" i="5"/>
  <c r="L442" i="5" s="1"/>
  <c r="D442" i="5"/>
  <c r="A442" i="5" s="1"/>
  <c r="P442" i="5"/>
  <c r="C443" i="5"/>
  <c r="L443" i="5" s="1"/>
  <c r="D443" i="5"/>
  <c r="A443" i="5" s="1"/>
  <c r="P443" i="5"/>
  <c r="C444" i="5"/>
  <c r="L444" i="5" s="1"/>
  <c r="D444" i="5"/>
  <c r="A444" i="5" s="1"/>
  <c r="P444" i="5"/>
  <c r="C445" i="5"/>
  <c r="L445" i="5" s="1"/>
  <c r="D445" i="5"/>
  <c r="A445" i="5" s="1"/>
  <c r="P445" i="5"/>
  <c r="C446" i="5"/>
  <c r="L446" i="5" s="1"/>
  <c r="D446" i="5"/>
  <c r="A446" i="5" s="1"/>
  <c r="P446" i="5"/>
  <c r="C447" i="5"/>
  <c r="L447" i="5" s="1"/>
  <c r="D447" i="5"/>
  <c r="A447" i="5" s="1"/>
  <c r="P447" i="5"/>
  <c r="C448" i="5"/>
  <c r="L448" i="5" s="1"/>
  <c r="D448" i="5"/>
  <c r="A448" i="5" s="1"/>
  <c r="P448" i="5"/>
  <c r="C449" i="5"/>
  <c r="L449" i="5" s="1"/>
  <c r="D449" i="5"/>
  <c r="A449" i="5" s="1"/>
  <c r="P449" i="5"/>
  <c r="C450" i="5"/>
  <c r="L450" i="5" s="1"/>
  <c r="D450" i="5"/>
  <c r="A450" i="5" s="1"/>
  <c r="P450" i="5"/>
  <c r="C451" i="5"/>
  <c r="L451" i="5" s="1"/>
  <c r="D451" i="5"/>
  <c r="A451" i="5" s="1"/>
  <c r="P451" i="5"/>
  <c r="C452" i="5"/>
  <c r="L452" i="5" s="1"/>
  <c r="D452" i="5"/>
  <c r="A452" i="5" s="1"/>
  <c r="P452" i="5"/>
  <c r="C453" i="5"/>
  <c r="L453" i="5" s="1"/>
  <c r="D453" i="5"/>
  <c r="A453" i="5" s="1"/>
  <c r="P453" i="5"/>
  <c r="C454" i="5"/>
  <c r="L454" i="5" s="1"/>
  <c r="D454" i="5"/>
  <c r="A454" i="5" s="1"/>
  <c r="P454" i="5"/>
  <c r="C455" i="5"/>
  <c r="L455" i="5" s="1"/>
  <c r="D455" i="5"/>
  <c r="A455" i="5" s="1"/>
  <c r="P455" i="5"/>
  <c r="C456" i="5"/>
  <c r="L456" i="5" s="1"/>
  <c r="D456" i="5"/>
  <c r="A456" i="5" s="1"/>
  <c r="P456" i="5"/>
  <c r="C457" i="5"/>
  <c r="L457" i="5" s="1"/>
  <c r="D457" i="5"/>
  <c r="A457" i="5" s="1"/>
  <c r="P457" i="5"/>
  <c r="C458" i="5"/>
  <c r="L458" i="5" s="1"/>
  <c r="D458" i="5"/>
  <c r="A458" i="5" s="1"/>
  <c r="P458" i="5"/>
  <c r="C459" i="5"/>
  <c r="L459" i="5" s="1"/>
  <c r="D459" i="5"/>
  <c r="A459" i="5" s="1"/>
  <c r="P459" i="5"/>
  <c r="C460" i="5"/>
  <c r="L460" i="5" s="1"/>
  <c r="D460" i="5"/>
  <c r="A460" i="5" s="1"/>
  <c r="P460" i="5"/>
  <c r="C461" i="5"/>
  <c r="L461" i="5" s="1"/>
  <c r="D461" i="5"/>
  <c r="A461" i="5" s="1"/>
  <c r="P461" i="5"/>
  <c r="C462" i="5"/>
  <c r="L462" i="5" s="1"/>
  <c r="D462" i="5"/>
  <c r="A462" i="5" s="1"/>
  <c r="P462" i="5"/>
  <c r="C463" i="5"/>
  <c r="L463" i="5" s="1"/>
  <c r="D463" i="5"/>
  <c r="A463" i="5" s="1"/>
  <c r="P463" i="5"/>
  <c r="C464" i="5"/>
  <c r="L464" i="5" s="1"/>
  <c r="D464" i="5"/>
  <c r="A464" i="5" s="1"/>
  <c r="P464" i="5"/>
  <c r="C465" i="5"/>
  <c r="L465" i="5" s="1"/>
  <c r="D465" i="5"/>
  <c r="A465" i="5" s="1"/>
  <c r="P465" i="5"/>
  <c r="C466" i="5"/>
  <c r="L466" i="5" s="1"/>
  <c r="D466" i="5"/>
  <c r="A466" i="5" s="1"/>
  <c r="P466" i="5"/>
  <c r="C467" i="5"/>
  <c r="L467" i="5" s="1"/>
  <c r="D467" i="5"/>
  <c r="A467" i="5" s="1"/>
  <c r="P467" i="5"/>
  <c r="C468" i="5"/>
  <c r="L468" i="5" s="1"/>
  <c r="D468" i="5"/>
  <c r="A468" i="5" s="1"/>
  <c r="P468" i="5"/>
  <c r="C469" i="5"/>
  <c r="L469" i="5" s="1"/>
  <c r="D469" i="5"/>
  <c r="A469" i="5" s="1"/>
  <c r="P469" i="5"/>
  <c r="C470" i="5"/>
  <c r="L470" i="5" s="1"/>
  <c r="D470" i="5"/>
  <c r="A470" i="5" s="1"/>
  <c r="P470" i="5"/>
  <c r="C471" i="5"/>
  <c r="L471" i="5" s="1"/>
  <c r="D471" i="5"/>
  <c r="A471" i="5" s="1"/>
  <c r="P471" i="5"/>
  <c r="C472" i="5"/>
  <c r="L472" i="5" s="1"/>
  <c r="D472" i="5"/>
  <c r="A472" i="5" s="1"/>
  <c r="P472" i="5"/>
  <c r="C473" i="5"/>
  <c r="L473" i="5" s="1"/>
  <c r="D473" i="5"/>
  <c r="A473" i="5" s="1"/>
  <c r="P473" i="5"/>
  <c r="C474" i="5"/>
  <c r="L474" i="5" s="1"/>
  <c r="D474" i="5"/>
  <c r="A474" i="5" s="1"/>
  <c r="P474" i="5"/>
  <c r="C475" i="5"/>
  <c r="L475" i="5" s="1"/>
  <c r="D475" i="5"/>
  <c r="A475" i="5" s="1"/>
  <c r="P475" i="5"/>
  <c r="C476" i="5"/>
  <c r="L476" i="5" s="1"/>
  <c r="D476" i="5"/>
  <c r="A476" i="5" s="1"/>
  <c r="P476" i="5"/>
  <c r="C477" i="5"/>
  <c r="L477" i="5" s="1"/>
  <c r="D477" i="5"/>
  <c r="A477" i="5" s="1"/>
  <c r="P477" i="5"/>
  <c r="C478" i="5"/>
  <c r="L478" i="5" s="1"/>
  <c r="D478" i="5"/>
  <c r="A478" i="5" s="1"/>
  <c r="P478" i="5"/>
  <c r="C479" i="5"/>
  <c r="L479" i="5" s="1"/>
  <c r="D479" i="5"/>
  <c r="A479" i="5" s="1"/>
  <c r="P479" i="5"/>
  <c r="C480" i="5"/>
  <c r="L480" i="5" s="1"/>
  <c r="D480" i="5"/>
  <c r="A480" i="5" s="1"/>
  <c r="P480" i="5"/>
  <c r="C481" i="5"/>
  <c r="L481" i="5" s="1"/>
  <c r="D481" i="5"/>
  <c r="A481" i="5" s="1"/>
  <c r="P481" i="5"/>
  <c r="C482" i="5"/>
  <c r="L482" i="5" s="1"/>
  <c r="D482" i="5"/>
  <c r="A482" i="5" s="1"/>
  <c r="P482" i="5"/>
  <c r="C483" i="5"/>
  <c r="L483" i="5" s="1"/>
  <c r="D483" i="5"/>
  <c r="A483" i="5" s="1"/>
  <c r="P483" i="5"/>
  <c r="C484" i="5"/>
  <c r="L484" i="5" s="1"/>
  <c r="D484" i="5"/>
  <c r="A484" i="5" s="1"/>
  <c r="P484" i="5"/>
  <c r="C485" i="5"/>
  <c r="L485" i="5" s="1"/>
  <c r="D485" i="5"/>
  <c r="A485" i="5" s="1"/>
  <c r="P485" i="5"/>
  <c r="C486" i="5"/>
  <c r="L486" i="5" s="1"/>
  <c r="D486" i="5"/>
  <c r="A486" i="5" s="1"/>
  <c r="P486" i="5"/>
  <c r="C487" i="5"/>
  <c r="L487" i="5" s="1"/>
  <c r="D487" i="5"/>
  <c r="A487" i="5" s="1"/>
  <c r="P487" i="5"/>
  <c r="C488" i="5"/>
  <c r="L488" i="5" s="1"/>
  <c r="D488" i="5"/>
  <c r="A488" i="5" s="1"/>
  <c r="P488" i="5"/>
  <c r="C489" i="5"/>
  <c r="L489" i="5" s="1"/>
  <c r="D489" i="5"/>
  <c r="A489" i="5" s="1"/>
  <c r="P489" i="5"/>
  <c r="C490" i="5"/>
  <c r="L490" i="5" s="1"/>
  <c r="D490" i="5"/>
  <c r="A490" i="5" s="1"/>
  <c r="P490" i="5"/>
  <c r="C386" i="5"/>
  <c r="L386" i="5" s="1"/>
  <c r="D386" i="5"/>
  <c r="A386" i="5" s="1"/>
  <c r="P386" i="5"/>
  <c r="C387" i="5"/>
  <c r="L387" i="5" s="1"/>
  <c r="D387" i="5"/>
  <c r="A387" i="5" s="1"/>
  <c r="P387" i="5"/>
  <c r="C388" i="5"/>
  <c r="L388" i="5" s="1"/>
  <c r="D388" i="5"/>
  <c r="A388" i="5" s="1"/>
  <c r="P388" i="5"/>
  <c r="C389" i="5"/>
  <c r="L389" i="5" s="1"/>
  <c r="D389" i="5"/>
  <c r="A389" i="5" s="1"/>
  <c r="P389" i="5"/>
  <c r="C390" i="5"/>
  <c r="L390" i="5" s="1"/>
  <c r="D390" i="5"/>
  <c r="A390" i="5" s="1"/>
  <c r="P390" i="5"/>
  <c r="C391" i="5"/>
  <c r="L391" i="5" s="1"/>
  <c r="D391" i="5"/>
  <c r="A391" i="5" s="1"/>
  <c r="P391" i="5"/>
  <c r="C392" i="5"/>
  <c r="L392" i="5" s="1"/>
  <c r="D392" i="5"/>
  <c r="A392" i="5" s="1"/>
  <c r="P392" i="5"/>
  <c r="C393" i="5"/>
  <c r="L393" i="5" s="1"/>
  <c r="D393" i="5"/>
  <c r="A393" i="5" s="1"/>
  <c r="O393" i="5" s="1"/>
  <c r="P393" i="5"/>
  <c r="C394" i="5"/>
  <c r="L394" i="5" s="1"/>
  <c r="D394" i="5"/>
  <c r="A394" i="5" s="1"/>
  <c r="R394" i="5" s="1"/>
  <c r="P394" i="5"/>
  <c r="C395" i="5"/>
  <c r="L395" i="5" s="1"/>
  <c r="D395" i="5"/>
  <c r="A395" i="5" s="1"/>
  <c r="P395" i="5"/>
  <c r="C396" i="5"/>
  <c r="L396" i="5" s="1"/>
  <c r="D396" i="5"/>
  <c r="A396" i="5" s="1"/>
  <c r="P396" i="5"/>
  <c r="C397" i="5"/>
  <c r="L397" i="5" s="1"/>
  <c r="D397" i="5"/>
  <c r="A397" i="5" s="1"/>
  <c r="S397" i="5" s="1"/>
  <c r="P397" i="5"/>
  <c r="C398" i="5"/>
  <c r="L398" i="5" s="1"/>
  <c r="D398" i="5"/>
  <c r="A398" i="5" s="1"/>
  <c r="P398" i="5"/>
  <c r="C399" i="5"/>
  <c r="L399" i="5" s="1"/>
  <c r="D399" i="5"/>
  <c r="A399" i="5" s="1"/>
  <c r="M399" i="5" s="1"/>
  <c r="P399" i="5"/>
  <c r="C400" i="5"/>
  <c r="L400" i="5" s="1"/>
  <c r="D400" i="5"/>
  <c r="A400" i="5" s="1"/>
  <c r="P400" i="5"/>
  <c r="C401" i="5"/>
  <c r="L401" i="5" s="1"/>
  <c r="D401" i="5"/>
  <c r="A401" i="5" s="1"/>
  <c r="P401" i="5"/>
  <c r="C402" i="5"/>
  <c r="L402" i="5" s="1"/>
  <c r="D402" i="5"/>
  <c r="A402" i="5" s="1"/>
  <c r="R402" i="5" s="1"/>
  <c r="P402" i="5"/>
  <c r="C403" i="5"/>
  <c r="L403" i="5" s="1"/>
  <c r="D403" i="5"/>
  <c r="A403" i="5" s="1"/>
  <c r="O403" i="5" s="1"/>
  <c r="P403" i="5"/>
  <c r="C404" i="5"/>
  <c r="L404" i="5" s="1"/>
  <c r="D404" i="5"/>
  <c r="A404" i="5" s="1"/>
  <c r="P404" i="5"/>
  <c r="C405" i="5"/>
  <c r="L405" i="5" s="1"/>
  <c r="D405" i="5"/>
  <c r="A405" i="5" s="1"/>
  <c r="S405" i="5" s="1"/>
  <c r="P405" i="5"/>
  <c r="C406" i="5"/>
  <c r="L406" i="5" s="1"/>
  <c r="D406" i="5"/>
  <c r="A406" i="5" s="1"/>
  <c r="R406" i="5" s="1"/>
  <c r="P406" i="5"/>
  <c r="C407" i="5"/>
  <c r="L407" i="5" s="1"/>
  <c r="D407" i="5"/>
  <c r="A407" i="5" s="1"/>
  <c r="M407" i="5" s="1"/>
  <c r="P407" i="5"/>
  <c r="C408" i="5"/>
  <c r="L408" i="5" s="1"/>
  <c r="D408" i="5"/>
  <c r="A408" i="5" s="1"/>
  <c r="R408" i="5" s="1"/>
  <c r="P408" i="5"/>
  <c r="C409" i="5"/>
  <c r="L409" i="5" s="1"/>
  <c r="D409" i="5"/>
  <c r="A409" i="5" s="1"/>
  <c r="P409" i="5"/>
  <c r="C410" i="5"/>
  <c r="L410" i="5" s="1"/>
  <c r="D410" i="5"/>
  <c r="A410" i="5" s="1"/>
  <c r="M410" i="5" s="1"/>
  <c r="P410" i="5"/>
  <c r="C411" i="5"/>
  <c r="L411" i="5" s="1"/>
  <c r="D411" i="5"/>
  <c r="A411" i="5" s="1"/>
  <c r="P411" i="5"/>
  <c r="C412" i="5"/>
  <c r="L412" i="5" s="1"/>
  <c r="D412" i="5"/>
  <c r="A412" i="5" s="1"/>
  <c r="P412" i="5"/>
  <c r="C413" i="5"/>
  <c r="L413" i="5" s="1"/>
  <c r="D413" i="5"/>
  <c r="A413" i="5" s="1"/>
  <c r="P413" i="5"/>
  <c r="C414" i="5"/>
  <c r="L414" i="5" s="1"/>
  <c r="D414" i="5"/>
  <c r="A414" i="5" s="1"/>
  <c r="P414" i="5"/>
  <c r="C415" i="5"/>
  <c r="L415" i="5" s="1"/>
  <c r="D415" i="5"/>
  <c r="A415" i="5" s="1"/>
  <c r="P415" i="5"/>
  <c r="C416" i="5"/>
  <c r="L416" i="5" s="1"/>
  <c r="D416" i="5"/>
  <c r="A416" i="5" s="1"/>
  <c r="Q416" i="5" s="1"/>
  <c r="P416" i="5"/>
  <c r="C417" i="5"/>
  <c r="L417" i="5" s="1"/>
  <c r="D417" i="5"/>
  <c r="A417" i="5" s="1"/>
  <c r="P417" i="5"/>
  <c r="C418" i="5"/>
  <c r="L418" i="5" s="1"/>
  <c r="D418" i="5"/>
  <c r="A418" i="5" s="1"/>
  <c r="P418" i="5"/>
  <c r="C419" i="5"/>
  <c r="L419" i="5" s="1"/>
  <c r="D419" i="5"/>
  <c r="A419" i="5" s="1"/>
  <c r="R419" i="5" s="1"/>
  <c r="P419" i="5"/>
  <c r="C420" i="5"/>
  <c r="L420" i="5" s="1"/>
  <c r="D420" i="5"/>
  <c r="A420" i="5" s="1"/>
  <c r="P420" i="5"/>
  <c r="C421" i="5"/>
  <c r="L421" i="5" s="1"/>
  <c r="D421" i="5"/>
  <c r="A421" i="5" s="1"/>
  <c r="P421" i="5"/>
  <c r="C422" i="5"/>
  <c r="L422" i="5" s="1"/>
  <c r="D422" i="5"/>
  <c r="A422" i="5" s="1"/>
  <c r="P422" i="5"/>
  <c r="K44" i="22"/>
  <c r="K43" i="22"/>
  <c r="R423" i="5" l="1"/>
  <c r="O423" i="5"/>
  <c r="S423" i="5"/>
  <c r="N423" i="5"/>
  <c r="Q423" i="5"/>
  <c r="M423" i="5"/>
  <c r="R424" i="5"/>
  <c r="S424" i="5"/>
  <c r="Q424" i="5"/>
  <c r="O424" i="5"/>
  <c r="N424" i="5"/>
  <c r="M424" i="5"/>
  <c r="Q425" i="5"/>
  <c r="N425" i="5"/>
  <c r="M425" i="5"/>
  <c r="R425" i="5"/>
  <c r="O425" i="5"/>
  <c r="S425" i="5"/>
  <c r="S426" i="5"/>
  <c r="Q426" i="5"/>
  <c r="R426" i="5"/>
  <c r="O426" i="5"/>
  <c r="N426" i="5"/>
  <c r="M426" i="5"/>
  <c r="R427" i="5"/>
  <c r="O427" i="5"/>
  <c r="S427" i="5"/>
  <c r="Q427" i="5"/>
  <c r="N427" i="5"/>
  <c r="M427" i="5"/>
  <c r="S428" i="5"/>
  <c r="R428" i="5"/>
  <c r="Q428" i="5"/>
  <c r="O428" i="5"/>
  <c r="N428" i="5"/>
  <c r="M428" i="5"/>
  <c r="S429" i="5"/>
  <c r="R429" i="5"/>
  <c r="Q429" i="5"/>
  <c r="O429" i="5"/>
  <c r="N429" i="5"/>
  <c r="M429" i="5"/>
  <c r="S430" i="5"/>
  <c r="R430" i="5"/>
  <c r="Q430" i="5"/>
  <c r="O430" i="5"/>
  <c r="N430" i="5"/>
  <c r="M430" i="5"/>
  <c r="S431" i="5"/>
  <c r="Q431" i="5"/>
  <c r="R431" i="5"/>
  <c r="O431" i="5"/>
  <c r="Q432" i="5"/>
  <c r="N432" i="5"/>
  <c r="S432" i="5"/>
  <c r="R432" i="5"/>
  <c r="O432" i="5"/>
  <c r="M432" i="5"/>
  <c r="R433" i="5"/>
  <c r="Q433" i="5"/>
  <c r="S433" i="5"/>
  <c r="O433" i="5"/>
  <c r="N433" i="5"/>
  <c r="M433" i="5"/>
  <c r="S434" i="5"/>
  <c r="R434" i="5"/>
  <c r="Q434" i="5"/>
  <c r="O434" i="5"/>
  <c r="N434" i="5"/>
  <c r="M434" i="5"/>
  <c r="N435" i="5"/>
  <c r="S435" i="5"/>
  <c r="R435" i="5"/>
  <c r="Q435" i="5"/>
  <c r="O435" i="5"/>
  <c r="M435" i="5"/>
  <c r="S436" i="5"/>
  <c r="R436" i="5"/>
  <c r="Q436" i="5"/>
  <c r="O436" i="5"/>
  <c r="N436" i="5"/>
  <c r="M436" i="5"/>
  <c r="S437" i="5"/>
  <c r="R437" i="5"/>
  <c r="Q437" i="5"/>
  <c r="O437" i="5"/>
  <c r="N437" i="5"/>
  <c r="M437" i="5"/>
  <c r="S438" i="5"/>
  <c r="R438" i="5"/>
  <c r="Q438" i="5"/>
  <c r="O438" i="5"/>
  <c r="N438" i="5"/>
  <c r="M438" i="5"/>
  <c r="S439" i="5"/>
  <c r="R439" i="5"/>
  <c r="Q439" i="5"/>
  <c r="O439" i="5"/>
  <c r="N439" i="5"/>
  <c r="M439" i="5"/>
  <c r="N440" i="5"/>
  <c r="S440" i="5"/>
  <c r="R440" i="5"/>
  <c r="Q440" i="5"/>
  <c r="O440" i="5"/>
  <c r="M440" i="5"/>
  <c r="N442" i="5"/>
  <c r="S442" i="5"/>
  <c r="Q442" i="5"/>
  <c r="R442" i="5"/>
  <c r="O442" i="5"/>
  <c r="M442" i="5"/>
  <c r="S443" i="5"/>
  <c r="R443" i="5"/>
  <c r="Q443" i="5"/>
  <c r="O443" i="5"/>
  <c r="N443" i="5"/>
  <c r="M443" i="5"/>
  <c r="S444" i="5"/>
  <c r="Q444" i="5"/>
  <c r="R444" i="5"/>
  <c r="O444" i="5"/>
  <c r="M444" i="5"/>
  <c r="N444" i="5"/>
  <c r="S445" i="5"/>
  <c r="R445" i="5"/>
  <c r="Q445" i="5"/>
  <c r="S446" i="5"/>
  <c r="R446" i="5"/>
  <c r="Q446" i="5"/>
  <c r="O446" i="5"/>
  <c r="N446" i="5"/>
  <c r="M446" i="5"/>
  <c r="S447" i="5"/>
  <c r="Q447" i="5"/>
  <c r="O447" i="5"/>
  <c r="N447" i="5"/>
  <c r="M447" i="5"/>
  <c r="R447" i="5"/>
  <c r="S448" i="5"/>
  <c r="R448" i="5"/>
  <c r="Q448" i="5"/>
  <c r="O448" i="5"/>
  <c r="N448" i="5"/>
  <c r="M448" i="5"/>
  <c r="S449" i="5"/>
  <c r="R449" i="5"/>
  <c r="Q449" i="5"/>
  <c r="O449" i="5"/>
  <c r="N449" i="5"/>
  <c r="M449" i="5"/>
  <c r="S450" i="5"/>
  <c r="R450" i="5"/>
  <c r="Q450" i="5"/>
  <c r="O450" i="5"/>
  <c r="N450" i="5"/>
  <c r="M450" i="5"/>
  <c r="S451" i="5"/>
  <c r="R451" i="5"/>
  <c r="Q451" i="5"/>
  <c r="N451" i="5"/>
  <c r="O451" i="5"/>
  <c r="M451" i="5"/>
  <c r="S452" i="5"/>
  <c r="R452" i="5"/>
  <c r="Q452" i="5"/>
  <c r="O452" i="5"/>
  <c r="N452" i="5"/>
  <c r="M452" i="5"/>
  <c r="S453" i="5"/>
  <c r="R453" i="5"/>
  <c r="Q453" i="5"/>
  <c r="O453" i="5"/>
  <c r="N453" i="5"/>
  <c r="M453" i="5"/>
  <c r="S454" i="5"/>
  <c r="Q454" i="5"/>
  <c r="O454" i="5"/>
  <c r="N454" i="5"/>
  <c r="M454" i="5"/>
  <c r="R454" i="5"/>
  <c r="N455" i="5"/>
  <c r="M455" i="5"/>
  <c r="S455" i="5"/>
  <c r="R455" i="5"/>
  <c r="Q455" i="5"/>
  <c r="O455" i="5"/>
  <c r="S456" i="5"/>
  <c r="R456" i="5"/>
  <c r="Q456" i="5"/>
  <c r="O456" i="5"/>
  <c r="S457" i="5"/>
  <c r="Q457" i="5"/>
  <c r="O457" i="5"/>
  <c r="M457" i="5"/>
  <c r="R457" i="5"/>
  <c r="N457" i="5"/>
  <c r="S458" i="5"/>
  <c r="R458" i="5"/>
  <c r="Q458" i="5"/>
  <c r="O458" i="5"/>
  <c r="N458" i="5"/>
  <c r="M458" i="5"/>
  <c r="S459" i="5"/>
  <c r="R459" i="5"/>
  <c r="Q459" i="5"/>
  <c r="O459" i="5"/>
  <c r="N459" i="5"/>
  <c r="M459" i="5"/>
  <c r="N460" i="5"/>
  <c r="S460" i="5"/>
  <c r="R460" i="5"/>
  <c r="Q460" i="5"/>
  <c r="O460" i="5"/>
  <c r="M460" i="5"/>
  <c r="S461" i="5"/>
  <c r="R461" i="5"/>
  <c r="Q461" i="5"/>
  <c r="O461" i="5"/>
  <c r="N461" i="5"/>
  <c r="M461" i="5"/>
  <c r="S462" i="5"/>
  <c r="R462" i="5"/>
  <c r="Q462" i="5"/>
  <c r="O462" i="5"/>
  <c r="M462" i="5"/>
  <c r="N462" i="5"/>
  <c r="S463" i="5"/>
  <c r="R463" i="5"/>
  <c r="Q463" i="5"/>
  <c r="O463" i="5"/>
  <c r="N463" i="5"/>
  <c r="M463" i="5"/>
  <c r="S464" i="5"/>
  <c r="R464" i="5"/>
  <c r="Q464" i="5"/>
  <c r="O464" i="5"/>
  <c r="N464" i="5"/>
  <c r="M464" i="5"/>
  <c r="S465" i="5"/>
  <c r="N465" i="5"/>
  <c r="R465" i="5"/>
  <c r="Q465" i="5"/>
  <c r="O465" i="5"/>
  <c r="M465" i="5"/>
  <c r="S466" i="5"/>
  <c r="R466" i="5"/>
  <c r="Q466" i="5"/>
  <c r="O466" i="5"/>
  <c r="M466" i="5"/>
  <c r="N466" i="5"/>
  <c r="S467" i="5"/>
  <c r="R467" i="5"/>
  <c r="Q467" i="5"/>
  <c r="O467" i="5"/>
  <c r="N467" i="5"/>
  <c r="M467" i="5"/>
  <c r="S468" i="5"/>
  <c r="R468" i="5"/>
  <c r="Q468" i="5"/>
  <c r="O468" i="5"/>
  <c r="N468" i="5"/>
  <c r="M468" i="5"/>
  <c r="S469" i="5"/>
  <c r="R469" i="5"/>
  <c r="Q469" i="5"/>
  <c r="O469" i="5"/>
  <c r="N469" i="5"/>
  <c r="M469" i="5"/>
  <c r="S470" i="5"/>
  <c r="R470" i="5"/>
  <c r="Q470" i="5"/>
  <c r="O470" i="5"/>
  <c r="N470" i="5"/>
  <c r="M470" i="5"/>
  <c r="S471" i="5"/>
  <c r="R471" i="5"/>
  <c r="Q471" i="5"/>
  <c r="N471" i="5"/>
  <c r="O471" i="5"/>
  <c r="M471" i="5"/>
  <c r="N472" i="5"/>
  <c r="M472" i="5"/>
  <c r="S472" i="5"/>
  <c r="R472" i="5"/>
  <c r="Q472" i="5"/>
  <c r="O472" i="5"/>
  <c r="N473" i="5"/>
  <c r="S473" i="5"/>
  <c r="R473" i="5"/>
  <c r="Q473" i="5"/>
  <c r="O473" i="5"/>
  <c r="M473" i="5"/>
  <c r="S474" i="5"/>
  <c r="R474" i="5"/>
  <c r="Q474" i="5"/>
  <c r="O474" i="5"/>
  <c r="N474" i="5"/>
  <c r="M474" i="5"/>
  <c r="N475" i="5"/>
  <c r="M475" i="5"/>
  <c r="R475" i="5"/>
  <c r="Q475" i="5"/>
  <c r="O475" i="5"/>
  <c r="S475" i="5"/>
  <c r="S476" i="5"/>
  <c r="R476" i="5"/>
  <c r="Q476" i="5"/>
  <c r="O476" i="5"/>
  <c r="N476" i="5"/>
  <c r="M476" i="5"/>
  <c r="S477" i="5"/>
  <c r="Q477" i="5"/>
  <c r="N477" i="5"/>
  <c r="R477" i="5"/>
  <c r="O477" i="5"/>
  <c r="M477" i="5"/>
  <c r="R478" i="5"/>
  <c r="S478" i="5"/>
  <c r="Q478" i="5"/>
  <c r="O478" i="5"/>
  <c r="N478" i="5"/>
  <c r="M478" i="5"/>
  <c r="R479" i="5"/>
  <c r="S479" i="5"/>
  <c r="Q479" i="5"/>
  <c r="O479" i="5"/>
  <c r="M479" i="5"/>
  <c r="N479" i="5"/>
  <c r="S480" i="5"/>
  <c r="Q480" i="5"/>
  <c r="O480" i="5"/>
  <c r="M480" i="5"/>
  <c r="R480" i="5"/>
  <c r="N480" i="5"/>
  <c r="Q481" i="5"/>
  <c r="N481" i="5"/>
  <c r="R481" i="5"/>
  <c r="S481" i="5"/>
  <c r="O481" i="5"/>
  <c r="M481" i="5"/>
  <c r="S482" i="5"/>
  <c r="R482" i="5"/>
  <c r="Q482" i="5"/>
  <c r="O482" i="5"/>
  <c r="N482" i="5"/>
  <c r="M482" i="5"/>
  <c r="S483" i="5"/>
  <c r="O483" i="5"/>
  <c r="Q483" i="5"/>
  <c r="R483" i="5"/>
  <c r="N483" i="5"/>
  <c r="M483" i="5"/>
  <c r="R484" i="5"/>
  <c r="Q484" i="5"/>
  <c r="S484" i="5"/>
  <c r="O484" i="5"/>
  <c r="N484" i="5"/>
  <c r="M484" i="5"/>
  <c r="S485" i="5"/>
  <c r="Q485" i="5"/>
  <c r="O485" i="5"/>
  <c r="R485" i="5"/>
  <c r="N485" i="5"/>
  <c r="M485" i="5"/>
  <c r="R486" i="5"/>
  <c r="S486" i="5"/>
  <c r="Q486" i="5"/>
  <c r="O486" i="5"/>
  <c r="N486" i="5"/>
  <c r="M486" i="5"/>
  <c r="S487" i="5"/>
  <c r="Q487" i="5"/>
  <c r="M487" i="5"/>
  <c r="R487" i="5"/>
  <c r="O487" i="5"/>
  <c r="N487" i="5"/>
  <c r="R488" i="5"/>
  <c r="S488" i="5"/>
  <c r="Q488" i="5"/>
  <c r="O488" i="5"/>
  <c r="N488" i="5"/>
  <c r="M488" i="5"/>
  <c r="S490" i="5"/>
  <c r="R490" i="5"/>
  <c r="Q490" i="5"/>
  <c r="O490" i="5"/>
  <c r="N431" i="5"/>
  <c r="M431" i="5"/>
  <c r="N441" i="5"/>
  <c r="Q441" i="5"/>
  <c r="R441" i="5"/>
  <c r="O441" i="5"/>
  <c r="S441" i="5"/>
  <c r="M441" i="5"/>
  <c r="O445" i="5"/>
  <c r="N445" i="5"/>
  <c r="M445" i="5"/>
  <c r="N456" i="5"/>
  <c r="M456" i="5"/>
  <c r="M489" i="5"/>
  <c r="S489" i="5"/>
  <c r="O489" i="5"/>
  <c r="Q489" i="5"/>
  <c r="N489" i="5"/>
  <c r="R489" i="5"/>
  <c r="M490" i="5"/>
  <c r="N490" i="5"/>
  <c r="K49" i="22"/>
  <c r="K50" i="22"/>
  <c r="K47" i="22"/>
  <c r="K45" i="22"/>
  <c r="K46" i="22"/>
  <c r="K48" i="22"/>
  <c r="S388" i="5"/>
  <c r="M388" i="5"/>
  <c r="O388" i="5"/>
  <c r="R388" i="5"/>
  <c r="N393" i="5"/>
  <c r="M415" i="5"/>
  <c r="R415" i="5"/>
  <c r="O417" i="5"/>
  <c r="S417" i="5"/>
  <c r="R387" i="5"/>
  <c r="Q387" i="5"/>
  <c r="S413" i="5"/>
  <c r="Q413" i="5"/>
  <c r="Q422" i="5"/>
  <c r="N422" i="5"/>
  <c r="N420" i="5"/>
  <c r="M420" i="5"/>
  <c r="O420" i="5"/>
  <c r="R420" i="5"/>
  <c r="R393" i="5"/>
  <c r="N403" i="5"/>
  <c r="N396" i="5"/>
  <c r="M396" i="5"/>
  <c r="O396" i="5"/>
  <c r="Q396" i="5"/>
  <c r="R396" i="5"/>
  <c r="S396" i="5"/>
  <c r="N412" i="5"/>
  <c r="R412" i="5"/>
  <c r="S412" i="5"/>
  <c r="Q412" i="5"/>
  <c r="M412" i="5"/>
  <c r="O412" i="5"/>
  <c r="N404" i="5"/>
  <c r="O404" i="5"/>
  <c r="M404" i="5"/>
  <c r="Q404" i="5"/>
  <c r="R404" i="5"/>
  <c r="S404" i="5"/>
  <c r="R400" i="5"/>
  <c r="O400" i="5"/>
  <c r="Q400" i="5"/>
  <c r="R390" i="5"/>
  <c r="N390" i="5"/>
  <c r="O390" i="5"/>
  <c r="Q390" i="5"/>
  <c r="M390" i="5"/>
  <c r="Q395" i="5"/>
  <c r="R395" i="5"/>
  <c r="S395" i="5"/>
  <c r="N395" i="5"/>
  <c r="M395" i="5"/>
  <c r="O395" i="5"/>
  <c r="N411" i="5"/>
  <c r="M411" i="5"/>
  <c r="O411" i="5"/>
  <c r="Q411" i="5"/>
  <c r="R411" i="5"/>
  <c r="S411" i="5"/>
  <c r="O409" i="5"/>
  <c r="M409" i="5"/>
  <c r="N409" i="5"/>
  <c r="Q409" i="5"/>
  <c r="R409" i="5"/>
  <c r="S409" i="5"/>
  <c r="M418" i="5"/>
  <c r="S418" i="5"/>
  <c r="R418" i="5"/>
  <c r="R392" i="5"/>
  <c r="Q392" i="5"/>
  <c r="O392" i="5"/>
  <c r="S421" i="5"/>
  <c r="R421" i="5"/>
  <c r="M391" i="5"/>
  <c r="S391" i="5"/>
  <c r="R391" i="5"/>
  <c r="S389" i="5"/>
  <c r="R389" i="5"/>
  <c r="Q389" i="5"/>
  <c r="O389" i="5"/>
  <c r="O401" i="5"/>
  <c r="M401" i="5"/>
  <c r="N401" i="5"/>
  <c r="Q401" i="5"/>
  <c r="S401" i="5"/>
  <c r="R414" i="5"/>
  <c r="Q414" i="5"/>
  <c r="N414" i="5"/>
  <c r="O414" i="5"/>
  <c r="M414" i="5"/>
  <c r="R386" i="5"/>
  <c r="M386" i="5"/>
  <c r="Q386" i="5"/>
  <c r="R398" i="5"/>
  <c r="N398" i="5"/>
  <c r="M398" i="5"/>
  <c r="O398" i="5"/>
  <c r="Q398" i="5"/>
  <c r="M422" i="5"/>
  <c r="R417" i="5"/>
  <c r="M393" i="5"/>
  <c r="O387" i="5"/>
  <c r="Q419" i="5"/>
  <c r="M403" i="5"/>
  <c r="S407" i="5"/>
  <c r="R405" i="5"/>
  <c r="N419" i="5"/>
  <c r="S410" i="5"/>
  <c r="R407" i="5"/>
  <c r="O406" i="5"/>
  <c r="Q405" i="5"/>
  <c r="S403" i="5"/>
  <c r="S399" i="5"/>
  <c r="R397" i="5"/>
  <c r="N387" i="5"/>
  <c r="Q406" i="5"/>
  <c r="O419" i="5"/>
  <c r="Q417" i="5"/>
  <c r="S420" i="5"/>
  <c r="M419" i="5"/>
  <c r="N417" i="5"/>
  <c r="R410" i="5"/>
  <c r="Q408" i="5"/>
  <c r="N406" i="5"/>
  <c r="R403" i="5"/>
  <c r="R399" i="5"/>
  <c r="Q397" i="5"/>
  <c r="S393" i="5"/>
  <c r="M387" i="5"/>
  <c r="M417" i="5"/>
  <c r="Q420" i="5"/>
  <c r="S419" i="5"/>
  <c r="Q393" i="5"/>
  <c r="Q388" i="5"/>
  <c r="S387" i="5"/>
  <c r="M406" i="5"/>
  <c r="Q403" i="5"/>
  <c r="O422" i="5"/>
  <c r="S415" i="5"/>
  <c r="R413" i="5"/>
  <c r="Q418" i="5"/>
  <c r="O408" i="5"/>
  <c r="Q402" i="5"/>
  <c r="N416" i="5"/>
  <c r="N400" i="5"/>
  <c r="O397" i="5"/>
  <c r="N392" i="5"/>
  <c r="Q391" i="5"/>
  <c r="N421" i="5"/>
  <c r="O418" i="5"/>
  <c r="M416" i="5"/>
  <c r="S414" i="5"/>
  <c r="N413" i="5"/>
  <c r="O410" i="5"/>
  <c r="M408" i="5"/>
  <c r="S406" i="5"/>
  <c r="N405" i="5"/>
  <c r="O402" i="5"/>
  <c r="R401" i="5"/>
  <c r="M400" i="5"/>
  <c r="S398" i="5"/>
  <c r="N397" i="5"/>
  <c r="O394" i="5"/>
  <c r="M392" i="5"/>
  <c r="S390" i="5"/>
  <c r="N389" i="5"/>
  <c r="O386" i="5"/>
  <c r="O416" i="5"/>
  <c r="O413" i="5"/>
  <c r="Q407" i="5"/>
  <c r="O405" i="5"/>
  <c r="Q399" i="5"/>
  <c r="S422" i="5"/>
  <c r="R422" i="5"/>
  <c r="M421" i="5"/>
  <c r="N418" i="5"/>
  <c r="O415" i="5"/>
  <c r="M413" i="5"/>
  <c r="N410" i="5"/>
  <c r="O407" i="5"/>
  <c r="M405" i="5"/>
  <c r="N402" i="5"/>
  <c r="O399" i="5"/>
  <c r="M397" i="5"/>
  <c r="N394" i="5"/>
  <c r="O391" i="5"/>
  <c r="M389" i="5"/>
  <c r="N386" i="5"/>
  <c r="Q421" i="5"/>
  <c r="Q410" i="5"/>
  <c r="Q394" i="5"/>
  <c r="O421" i="5"/>
  <c r="Q415" i="5"/>
  <c r="S416" i="5"/>
  <c r="N415" i="5"/>
  <c r="S408" i="5"/>
  <c r="N407" i="5"/>
  <c r="M402" i="5"/>
  <c r="S400" i="5"/>
  <c r="N399" i="5"/>
  <c r="M394" i="5"/>
  <c r="S392" i="5"/>
  <c r="N391" i="5"/>
  <c r="R416" i="5"/>
  <c r="N388" i="5"/>
  <c r="S402" i="5"/>
  <c r="S394" i="5"/>
  <c r="S386" i="5"/>
  <c r="D346" i="5"/>
  <c r="C352" i="5"/>
  <c r="L352" i="5" s="1"/>
  <c r="D352" i="5"/>
  <c r="A352" i="5" s="1"/>
  <c r="P352" i="5"/>
  <c r="C353" i="5"/>
  <c r="L353" i="5" s="1"/>
  <c r="D353" i="5"/>
  <c r="A353" i="5" s="1"/>
  <c r="P353" i="5"/>
  <c r="C354" i="5"/>
  <c r="L354" i="5" s="1"/>
  <c r="D354" i="5"/>
  <c r="A354" i="5" s="1"/>
  <c r="P354" i="5"/>
  <c r="C355" i="5"/>
  <c r="L355" i="5" s="1"/>
  <c r="D355" i="5"/>
  <c r="A355" i="5" s="1"/>
  <c r="P355" i="5"/>
  <c r="C356" i="5"/>
  <c r="L356" i="5" s="1"/>
  <c r="D356" i="5"/>
  <c r="A356" i="5" s="1"/>
  <c r="M356" i="5" s="1"/>
  <c r="P356" i="5"/>
  <c r="C357" i="5"/>
  <c r="L357" i="5" s="1"/>
  <c r="D357" i="5"/>
  <c r="A357" i="5" s="1"/>
  <c r="P357" i="5"/>
  <c r="C358" i="5"/>
  <c r="L358" i="5" s="1"/>
  <c r="D358" i="5"/>
  <c r="A358" i="5" s="1"/>
  <c r="P358" i="5"/>
  <c r="C359" i="5"/>
  <c r="L359" i="5" s="1"/>
  <c r="D359" i="5"/>
  <c r="A359" i="5" s="1"/>
  <c r="P359" i="5"/>
  <c r="C360" i="5"/>
  <c r="L360" i="5" s="1"/>
  <c r="D360" i="5"/>
  <c r="A360" i="5" s="1"/>
  <c r="P360" i="5"/>
  <c r="C361" i="5"/>
  <c r="L361" i="5" s="1"/>
  <c r="D361" i="5"/>
  <c r="A361" i="5" s="1"/>
  <c r="P361" i="5"/>
  <c r="C362" i="5"/>
  <c r="L362" i="5" s="1"/>
  <c r="D362" i="5"/>
  <c r="A362" i="5" s="1"/>
  <c r="P362" i="5"/>
  <c r="C363" i="5"/>
  <c r="L363" i="5" s="1"/>
  <c r="D363" i="5"/>
  <c r="A363" i="5" s="1"/>
  <c r="P363" i="5"/>
  <c r="C364" i="5"/>
  <c r="L364" i="5" s="1"/>
  <c r="D364" i="5"/>
  <c r="A364" i="5" s="1"/>
  <c r="M364" i="5" s="1"/>
  <c r="P364" i="5"/>
  <c r="C365" i="5"/>
  <c r="L365" i="5" s="1"/>
  <c r="D365" i="5"/>
  <c r="A365" i="5" s="1"/>
  <c r="R365" i="5" s="1"/>
  <c r="P365" i="5"/>
  <c r="C367" i="5"/>
  <c r="L367" i="5" s="1"/>
  <c r="D367" i="5"/>
  <c r="A367" i="5" s="1"/>
  <c r="R367" i="5" s="1"/>
  <c r="P367" i="5"/>
  <c r="C368" i="5"/>
  <c r="L368" i="5" s="1"/>
  <c r="D368" i="5"/>
  <c r="A368" i="5" s="1"/>
  <c r="R368" i="5" s="1"/>
  <c r="P368" i="5"/>
  <c r="C369" i="5"/>
  <c r="L369" i="5" s="1"/>
  <c r="D369" i="5"/>
  <c r="A369" i="5" s="1"/>
  <c r="O369" i="5" s="1"/>
  <c r="P369" i="5"/>
  <c r="C370" i="5"/>
  <c r="L370" i="5" s="1"/>
  <c r="D370" i="5"/>
  <c r="A370" i="5" s="1"/>
  <c r="P370" i="5"/>
  <c r="C371" i="5"/>
  <c r="L371" i="5" s="1"/>
  <c r="D371" i="5"/>
  <c r="A371" i="5" s="1"/>
  <c r="P371" i="5"/>
  <c r="C372" i="5"/>
  <c r="L372" i="5" s="1"/>
  <c r="D372" i="5"/>
  <c r="A372" i="5" s="1"/>
  <c r="M372" i="5" s="1"/>
  <c r="P372" i="5"/>
  <c r="C373" i="5"/>
  <c r="L373" i="5" s="1"/>
  <c r="D373" i="5"/>
  <c r="A373" i="5" s="1"/>
  <c r="P373" i="5"/>
  <c r="C374" i="5"/>
  <c r="L374" i="5" s="1"/>
  <c r="D374" i="5"/>
  <c r="A374" i="5" s="1"/>
  <c r="P374" i="5"/>
  <c r="C375" i="5"/>
  <c r="L375" i="5" s="1"/>
  <c r="D375" i="5"/>
  <c r="A375" i="5" s="1"/>
  <c r="P375" i="5"/>
  <c r="C376" i="5"/>
  <c r="L376" i="5" s="1"/>
  <c r="D376" i="5"/>
  <c r="A376" i="5" s="1"/>
  <c r="P376" i="5"/>
  <c r="C377" i="5"/>
  <c r="L377" i="5" s="1"/>
  <c r="D377" i="5"/>
  <c r="A377" i="5" s="1"/>
  <c r="P377" i="5"/>
  <c r="C378" i="5"/>
  <c r="L378" i="5" s="1"/>
  <c r="D378" i="5"/>
  <c r="A378" i="5" s="1"/>
  <c r="P378" i="5"/>
  <c r="C379" i="5"/>
  <c r="L379" i="5" s="1"/>
  <c r="D379" i="5"/>
  <c r="A379" i="5" s="1"/>
  <c r="P379" i="5"/>
  <c r="C380" i="5"/>
  <c r="L380" i="5" s="1"/>
  <c r="D380" i="5"/>
  <c r="A380" i="5" s="1"/>
  <c r="M380" i="5" s="1"/>
  <c r="P380" i="5"/>
  <c r="C381" i="5"/>
  <c r="L381" i="5" s="1"/>
  <c r="D381" i="5"/>
  <c r="A381" i="5" s="1"/>
  <c r="P381" i="5"/>
  <c r="C382" i="5"/>
  <c r="L382" i="5" s="1"/>
  <c r="D382" i="5"/>
  <c r="A382" i="5" s="1"/>
  <c r="P382" i="5"/>
  <c r="C383" i="5"/>
  <c r="L383" i="5" s="1"/>
  <c r="D383" i="5"/>
  <c r="A383" i="5" s="1"/>
  <c r="P383" i="5"/>
  <c r="C384" i="5"/>
  <c r="L384" i="5" s="1"/>
  <c r="D384" i="5"/>
  <c r="A384" i="5" s="1"/>
  <c r="P384" i="5"/>
  <c r="C385" i="5"/>
  <c r="L385" i="5" s="1"/>
  <c r="D385" i="5"/>
  <c r="A385" i="5" s="1"/>
  <c r="P385" i="5"/>
  <c r="J401" i="23"/>
  <c r="I401" i="23"/>
  <c r="H401" i="23"/>
  <c r="G401" i="23"/>
  <c r="A401" i="23" s="1"/>
  <c r="J400" i="23"/>
  <c r="I400" i="23"/>
  <c r="H400" i="23"/>
  <c r="G400" i="23"/>
  <c r="A400" i="23" s="1"/>
  <c r="J399" i="23"/>
  <c r="I399" i="23"/>
  <c r="H399" i="23"/>
  <c r="G399" i="23"/>
  <c r="A399" i="23"/>
  <c r="J398" i="23"/>
  <c r="I398" i="23"/>
  <c r="H398" i="23"/>
  <c r="G398" i="23"/>
  <c r="A398" i="23" s="1"/>
  <c r="J393" i="23"/>
  <c r="I393" i="23"/>
  <c r="H393" i="23"/>
  <c r="G393" i="23"/>
  <c r="A393" i="23"/>
  <c r="A385" i="23"/>
  <c r="A384" i="23"/>
  <c r="A383" i="23"/>
  <c r="A382" i="23"/>
  <c r="I381" i="23"/>
  <c r="H381" i="23"/>
  <c r="G381" i="23"/>
  <c r="I380" i="23"/>
  <c r="H380" i="23"/>
  <c r="G380" i="23"/>
  <c r="A380" i="23" s="1"/>
  <c r="A379" i="23"/>
  <c r="A378" i="23"/>
  <c r="A377" i="23"/>
  <c r="A372" i="23"/>
  <c r="A371" i="23"/>
  <c r="A363" i="23"/>
  <c r="A362" i="23"/>
  <c r="A361" i="23"/>
  <c r="A355" i="23"/>
  <c r="A354" i="23"/>
  <c r="A346" i="23"/>
  <c r="A345" i="23"/>
  <c r="A344" i="23"/>
  <c r="A343" i="23"/>
  <c r="A342" i="23"/>
  <c r="A341" i="23"/>
  <c r="J340" i="23"/>
  <c r="I340" i="23"/>
  <c r="H340" i="23"/>
  <c r="G340" i="23"/>
  <c r="J339" i="23"/>
  <c r="I339" i="23"/>
  <c r="H339" i="23"/>
  <c r="G339" i="23"/>
  <c r="J338" i="23"/>
  <c r="I338" i="23"/>
  <c r="H338" i="23"/>
  <c r="G338" i="23"/>
  <c r="A338" i="23" s="1"/>
  <c r="J337" i="23"/>
  <c r="I337" i="23"/>
  <c r="H337" i="23"/>
  <c r="G337" i="23"/>
  <c r="A337" i="23" s="1"/>
  <c r="J336" i="23"/>
  <c r="I336" i="23"/>
  <c r="H336" i="23"/>
  <c r="G336" i="23"/>
  <c r="A336" i="23" s="1"/>
  <c r="J335" i="23"/>
  <c r="I335" i="23"/>
  <c r="H335" i="23"/>
  <c r="G335" i="23"/>
  <c r="A335" i="23" s="1"/>
  <c r="J334" i="23"/>
  <c r="I334" i="23"/>
  <c r="H334" i="23"/>
  <c r="G334" i="23"/>
  <c r="A334" i="23"/>
  <c r="J333" i="23"/>
  <c r="I333" i="23"/>
  <c r="H333" i="23"/>
  <c r="G333" i="23"/>
  <c r="J332" i="23"/>
  <c r="I332" i="23"/>
  <c r="H332" i="23"/>
  <c r="G332" i="23"/>
  <c r="A332" i="23" s="1"/>
  <c r="J331" i="23"/>
  <c r="I331" i="23"/>
  <c r="H331" i="23"/>
  <c r="G331" i="23"/>
  <c r="A331" i="23" s="1"/>
  <c r="J330" i="23"/>
  <c r="I330" i="23"/>
  <c r="H330" i="23"/>
  <c r="G330" i="23"/>
  <c r="A330" i="23"/>
  <c r="J329" i="23"/>
  <c r="I329" i="23"/>
  <c r="H329" i="23"/>
  <c r="G329" i="23"/>
  <c r="A329" i="23"/>
  <c r="I323" i="23"/>
  <c r="H323" i="23"/>
  <c r="G323" i="23"/>
  <c r="A322" i="23"/>
  <c r="A321" i="23"/>
  <c r="A320" i="23"/>
  <c r="A319" i="23"/>
  <c r="A318" i="23"/>
  <c r="A317" i="23"/>
  <c r="A316" i="23"/>
  <c r="J315" i="23"/>
  <c r="I315" i="23"/>
  <c r="H315" i="23"/>
  <c r="G315" i="23"/>
  <c r="J314" i="23"/>
  <c r="I314" i="23"/>
  <c r="H314" i="23"/>
  <c r="G314" i="23"/>
  <c r="A314" i="23" s="1"/>
  <c r="J313" i="23"/>
  <c r="I313" i="23"/>
  <c r="H313" i="23"/>
  <c r="G313" i="23"/>
  <c r="J312" i="23"/>
  <c r="I312" i="23"/>
  <c r="H312" i="23"/>
  <c r="G312" i="23"/>
  <c r="A312" i="23" s="1"/>
  <c r="J311" i="23"/>
  <c r="I311" i="23"/>
  <c r="H311" i="23"/>
  <c r="G311" i="23"/>
  <c r="A311" i="23" s="1"/>
  <c r="J310" i="23"/>
  <c r="I310" i="23"/>
  <c r="H310" i="23"/>
  <c r="G310" i="23"/>
  <c r="A310" i="23" s="1"/>
  <c r="J309" i="23"/>
  <c r="I309" i="23"/>
  <c r="H309" i="23"/>
  <c r="G309" i="23"/>
  <c r="J308" i="23"/>
  <c r="I308" i="23"/>
  <c r="H308" i="23"/>
  <c r="G308" i="23"/>
  <c r="J307" i="23"/>
  <c r="I307" i="23"/>
  <c r="H307" i="23"/>
  <c r="G307" i="23"/>
  <c r="A307" i="23" s="1"/>
  <c r="J306" i="23"/>
  <c r="I306" i="23"/>
  <c r="H306" i="23"/>
  <c r="G306" i="23"/>
  <c r="J305" i="23"/>
  <c r="I305" i="23"/>
  <c r="H305" i="23"/>
  <c r="G305" i="23"/>
  <c r="A305" i="23" s="1"/>
  <c r="J304" i="23"/>
  <c r="I304" i="23"/>
  <c r="H304" i="23"/>
  <c r="G304" i="23"/>
  <c r="J303" i="23"/>
  <c r="I303" i="23"/>
  <c r="H303" i="23"/>
  <c r="G303" i="23"/>
  <c r="J302" i="23"/>
  <c r="I302" i="23"/>
  <c r="H302" i="23"/>
  <c r="G302" i="23"/>
  <c r="A302" i="23" s="1"/>
  <c r="J301" i="23"/>
  <c r="I301" i="23"/>
  <c r="H301" i="23"/>
  <c r="G301" i="23"/>
  <c r="J300" i="23"/>
  <c r="I300" i="23"/>
  <c r="H300" i="23"/>
  <c r="G300" i="23"/>
  <c r="J299" i="23"/>
  <c r="I299" i="23"/>
  <c r="H299" i="23"/>
  <c r="G299" i="23"/>
  <c r="J298" i="23"/>
  <c r="I298" i="23"/>
  <c r="H298" i="23"/>
  <c r="G298" i="23"/>
  <c r="A298" i="23" s="1"/>
  <c r="J297" i="23"/>
  <c r="I297" i="23"/>
  <c r="H297" i="23"/>
  <c r="G297" i="23"/>
  <c r="A297" i="23" s="1"/>
  <c r="J296" i="23"/>
  <c r="I296" i="23"/>
  <c r="H296" i="23"/>
  <c r="G296" i="23"/>
  <c r="J294" i="23"/>
  <c r="I294" i="23"/>
  <c r="H294" i="23"/>
  <c r="G294" i="23"/>
  <c r="A294" i="23" s="1"/>
  <c r="J293" i="23"/>
  <c r="I293" i="23"/>
  <c r="H293" i="23"/>
  <c r="G293" i="23"/>
  <c r="J292" i="23"/>
  <c r="I292" i="23"/>
  <c r="H292" i="23"/>
  <c r="G292" i="23"/>
  <c r="J291" i="23"/>
  <c r="I291" i="23"/>
  <c r="H291" i="23"/>
  <c r="G291" i="23"/>
  <c r="A291" i="23" s="1"/>
  <c r="J290" i="23"/>
  <c r="I290" i="23"/>
  <c r="H290" i="23"/>
  <c r="G290" i="23"/>
  <c r="J289" i="23"/>
  <c r="I289" i="23"/>
  <c r="H289" i="23"/>
  <c r="G289" i="23"/>
  <c r="J288" i="23"/>
  <c r="I288" i="23"/>
  <c r="H288" i="23"/>
  <c r="G288" i="23"/>
  <c r="A288" i="23" s="1"/>
  <c r="J287" i="23"/>
  <c r="I287" i="23"/>
  <c r="H287" i="23"/>
  <c r="G287" i="23"/>
  <c r="J286" i="23"/>
  <c r="I286" i="23"/>
  <c r="H286" i="23"/>
  <c r="G286" i="23"/>
  <c r="A286" i="23" s="1"/>
  <c r="J285" i="23"/>
  <c r="I285" i="23"/>
  <c r="H285" i="23"/>
  <c r="G285" i="23"/>
  <c r="J284" i="23"/>
  <c r="I284" i="23"/>
  <c r="H284" i="23"/>
  <c r="G284" i="23"/>
  <c r="J283" i="23"/>
  <c r="I283" i="23"/>
  <c r="H283" i="23"/>
  <c r="G283" i="23"/>
  <c r="J282" i="23"/>
  <c r="I282" i="23"/>
  <c r="H282" i="23"/>
  <c r="G282" i="23"/>
  <c r="A282" i="23" s="1"/>
  <c r="J281" i="23"/>
  <c r="I281" i="23"/>
  <c r="H281" i="23"/>
  <c r="G281" i="23"/>
  <c r="A281" i="23" s="1"/>
  <c r="J280" i="23"/>
  <c r="I280" i="23"/>
  <c r="H280" i="23"/>
  <c r="G280" i="23"/>
  <c r="J279" i="23"/>
  <c r="I279" i="23"/>
  <c r="H279" i="23"/>
  <c r="G279" i="23"/>
  <c r="A279" i="23" s="1"/>
  <c r="J278" i="23"/>
  <c r="I278" i="23"/>
  <c r="H278" i="23"/>
  <c r="G278" i="23"/>
  <c r="A278" i="23" s="1"/>
  <c r="J277" i="23"/>
  <c r="I277" i="23"/>
  <c r="H277" i="23"/>
  <c r="G277" i="23"/>
  <c r="A277" i="23"/>
  <c r="J276" i="23"/>
  <c r="I276" i="23"/>
  <c r="H276" i="23"/>
  <c r="G276" i="23"/>
  <c r="J275" i="23"/>
  <c r="I275" i="23"/>
  <c r="H275" i="23"/>
  <c r="G275" i="23"/>
  <c r="J274" i="23"/>
  <c r="I274" i="23"/>
  <c r="H274" i="23"/>
  <c r="G274" i="23"/>
  <c r="A274" i="23" s="1"/>
  <c r="J273" i="23"/>
  <c r="I273" i="23"/>
  <c r="H273" i="23"/>
  <c r="G273" i="23"/>
  <c r="J272" i="23"/>
  <c r="I272" i="23"/>
  <c r="H272" i="23"/>
  <c r="G272" i="23"/>
  <c r="A272" i="23" s="1"/>
  <c r="J271" i="23"/>
  <c r="I271" i="23"/>
  <c r="H271" i="23"/>
  <c r="G271" i="23"/>
  <c r="J270" i="23"/>
  <c r="I270" i="23"/>
  <c r="H270" i="23"/>
  <c r="G270" i="23"/>
  <c r="J269" i="23"/>
  <c r="I269" i="23"/>
  <c r="H269" i="23"/>
  <c r="G269" i="23"/>
  <c r="A269" i="23" s="1"/>
  <c r="J268" i="23"/>
  <c r="I268" i="23"/>
  <c r="H268" i="23"/>
  <c r="G268" i="23"/>
  <c r="J267" i="23"/>
  <c r="I267" i="23"/>
  <c r="H267" i="23"/>
  <c r="G267" i="23"/>
  <c r="A267" i="23" s="1"/>
  <c r="J266" i="23"/>
  <c r="I266" i="23"/>
  <c r="H266" i="23"/>
  <c r="G266" i="23"/>
  <c r="A266" i="23" s="1"/>
  <c r="J265" i="23"/>
  <c r="I265" i="23"/>
  <c r="H265" i="23"/>
  <c r="G265" i="23"/>
  <c r="A265" i="23" s="1"/>
  <c r="J264" i="23"/>
  <c r="I264" i="23"/>
  <c r="H264" i="23"/>
  <c r="G264" i="23"/>
  <c r="J263" i="23"/>
  <c r="I263" i="23"/>
  <c r="H263" i="23"/>
  <c r="G263" i="23"/>
  <c r="J262" i="23"/>
  <c r="I262" i="23"/>
  <c r="H262" i="23"/>
  <c r="G262" i="23"/>
  <c r="A262" i="23" s="1"/>
  <c r="J261" i="23"/>
  <c r="I261" i="23"/>
  <c r="H261" i="23"/>
  <c r="G261" i="23"/>
  <c r="J260" i="23"/>
  <c r="I260" i="23"/>
  <c r="H260" i="23"/>
  <c r="G260" i="23"/>
  <c r="J259" i="23"/>
  <c r="I259" i="23"/>
  <c r="H259" i="23"/>
  <c r="G259" i="23"/>
  <c r="J258" i="23"/>
  <c r="I258" i="23"/>
  <c r="H258" i="23"/>
  <c r="G258" i="23"/>
  <c r="J257" i="23"/>
  <c r="I257" i="23"/>
  <c r="H257" i="23"/>
  <c r="G257" i="23"/>
  <c r="A257" i="23" s="1"/>
  <c r="J256" i="23"/>
  <c r="I256" i="23"/>
  <c r="H256" i="23"/>
  <c r="G256" i="23"/>
  <c r="A256" i="23" s="1"/>
  <c r="J255" i="23"/>
  <c r="I255" i="23"/>
  <c r="H255" i="23"/>
  <c r="G255" i="23"/>
  <c r="A255" i="23" s="1"/>
  <c r="J254" i="23"/>
  <c r="I254" i="23"/>
  <c r="H254" i="23"/>
  <c r="G254" i="23"/>
  <c r="J253" i="23"/>
  <c r="I253" i="23"/>
  <c r="H253" i="23"/>
  <c r="G253" i="23"/>
  <c r="J252" i="23"/>
  <c r="I252" i="23"/>
  <c r="H252" i="23"/>
  <c r="G252" i="23"/>
  <c r="A252" i="23" s="1"/>
  <c r="J251" i="23"/>
  <c r="I251" i="23"/>
  <c r="H251" i="23"/>
  <c r="G251" i="23"/>
  <c r="A251" i="23" s="1"/>
  <c r="J250" i="23"/>
  <c r="I250" i="23"/>
  <c r="H250" i="23"/>
  <c r="G250" i="23"/>
  <c r="A250" i="23" s="1"/>
  <c r="J249" i="23"/>
  <c r="I249" i="23"/>
  <c r="H249" i="23"/>
  <c r="G249" i="23"/>
  <c r="A249" i="23" s="1"/>
  <c r="J248" i="23"/>
  <c r="I248" i="23"/>
  <c r="H248" i="23"/>
  <c r="G248" i="23"/>
  <c r="A248" i="23" s="1"/>
  <c r="J247" i="23"/>
  <c r="I247" i="23"/>
  <c r="H247" i="23"/>
  <c r="G247" i="23"/>
  <c r="A247" i="23" s="1"/>
  <c r="J246" i="23"/>
  <c r="I246" i="23"/>
  <c r="H246" i="23"/>
  <c r="G246" i="23"/>
  <c r="A246" i="23" s="1"/>
  <c r="J245" i="23"/>
  <c r="I245" i="23"/>
  <c r="H245" i="23"/>
  <c r="G245" i="23"/>
  <c r="A245" i="23"/>
  <c r="J244" i="23"/>
  <c r="I244" i="23"/>
  <c r="H244" i="23"/>
  <c r="G244" i="23"/>
  <c r="J243" i="23"/>
  <c r="I243" i="23"/>
  <c r="H243" i="23"/>
  <c r="G243" i="23"/>
  <c r="A243" i="23" s="1"/>
  <c r="J242" i="23"/>
  <c r="I242" i="23"/>
  <c r="H242" i="23"/>
  <c r="G242" i="23"/>
  <c r="A242" i="23" s="1"/>
  <c r="J241" i="23"/>
  <c r="I241" i="23"/>
  <c r="H241" i="23"/>
  <c r="G241" i="23"/>
  <c r="A241" i="23" s="1"/>
  <c r="J240" i="23"/>
  <c r="I240" i="23"/>
  <c r="H240" i="23"/>
  <c r="G240" i="23"/>
  <c r="A240" i="23" s="1"/>
  <c r="J239" i="23"/>
  <c r="I239" i="23"/>
  <c r="H239" i="23"/>
  <c r="G239" i="23"/>
  <c r="A239" i="23" s="1"/>
  <c r="J238" i="23"/>
  <c r="I238" i="23"/>
  <c r="H238" i="23"/>
  <c r="G238" i="23"/>
  <c r="A237" i="23"/>
  <c r="J236" i="23"/>
  <c r="I236" i="23"/>
  <c r="H236" i="23"/>
  <c r="G236" i="23"/>
  <c r="A236" i="23" s="1"/>
  <c r="J235" i="23"/>
  <c r="I235" i="23"/>
  <c r="H235" i="23"/>
  <c r="G235" i="23"/>
  <c r="A235" i="23" s="1"/>
  <c r="J234" i="23"/>
  <c r="I234" i="23"/>
  <c r="H234" i="23"/>
  <c r="G234" i="23"/>
  <c r="J233" i="23"/>
  <c r="I233" i="23"/>
  <c r="H233" i="23"/>
  <c r="G233" i="23"/>
  <c r="A233" i="23" s="1"/>
  <c r="J232" i="23"/>
  <c r="I232" i="23"/>
  <c r="H232" i="23"/>
  <c r="G232" i="23"/>
  <c r="J231" i="23"/>
  <c r="I231" i="23"/>
  <c r="H231" i="23"/>
  <c r="G231" i="23"/>
  <c r="J230" i="23"/>
  <c r="I230" i="23"/>
  <c r="H230" i="23"/>
  <c r="G230" i="23"/>
  <c r="A230" i="23" s="1"/>
  <c r="J229" i="23"/>
  <c r="I229" i="23"/>
  <c r="H229" i="23"/>
  <c r="G229" i="23"/>
  <c r="A229" i="23" s="1"/>
  <c r="J228" i="23"/>
  <c r="I228" i="23"/>
  <c r="H228" i="23"/>
  <c r="G228" i="23"/>
  <c r="A228" i="23" s="1"/>
  <c r="J227" i="23"/>
  <c r="I227" i="23"/>
  <c r="H227" i="23"/>
  <c r="G227" i="23"/>
  <c r="A227" i="23"/>
  <c r="J226" i="23"/>
  <c r="I226" i="23"/>
  <c r="H226" i="23"/>
  <c r="G226" i="23"/>
  <c r="A226" i="23" s="1"/>
  <c r="J225" i="23"/>
  <c r="I225" i="23"/>
  <c r="H225" i="23"/>
  <c r="G225" i="23"/>
  <c r="A225" i="23" s="1"/>
  <c r="J224" i="23"/>
  <c r="I224" i="23"/>
  <c r="H224" i="23"/>
  <c r="G224" i="23"/>
  <c r="J223" i="23"/>
  <c r="I223" i="23"/>
  <c r="H223" i="23"/>
  <c r="G223" i="23"/>
  <c r="A223" i="23" s="1"/>
  <c r="J222" i="23"/>
  <c r="I222" i="23"/>
  <c r="H222" i="23"/>
  <c r="G222" i="23"/>
  <c r="A222" i="23"/>
  <c r="J221" i="23"/>
  <c r="I221" i="23"/>
  <c r="H221" i="23"/>
  <c r="G221" i="23"/>
  <c r="A221" i="23"/>
  <c r="J220" i="23"/>
  <c r="I220" i="23"/>
  <c r="H220" i="23"/>
  <c r="G220" i="23"/>
  <c r="A220" i="23" s="1"/>
  <c r="J219" i="23"/>
  <c r="I219" i="23"/>
  <c r="H219" i="23"/>
  <c r="G219" i="23"/>
  <c r="A219" i="23"/>
  <c r="J218" i="23"/>
  <c r="I218" i="23"/>
  <c r="H218" i="23"/>
  <c r="G218" i="23"/>
  <c r="A218" i="23" s="1"/>
  <c r="J217" i="23"/>
  <c r="I217" i="23"/>
  <c r="H217" i="23"/>
  <c r="G217" i="23"/>
  <c r="A217" i="23"/>
  <c r="J216" i="23"/>
  <c r="I216" i="23"/>
  <c r="H216" i="23"/>
  <c r="G216" i="23"/>
  <c r="A216" i="23"/>
  <c r="J215" i="23"/>
  <c r="I215" i="23"/>
  <c r="H215" i="23"/>
  <c r="G215" i="23"/>
  <c r="A215" i="23"/>
  <c r="J214" i="23"/>
  <c r="I214" i="23"/>
  <c r="H214" i="23"/>
  <c r="G214" i="23"/>
  <c r="A214" i="23"/>
  <c r="J213" i="23"/>
  <c r="I213" i="23"/>
  <c r="H213" i="23"/>
  <c r="G213" i="23"/>
  <c r="A213" i="23" s="1"/>
  <c r="J212" i="23"/>
  <c r="I212" i="23"/>
  <c r="H212" i="23"/>
  <c r="G212" i="23"/>
  <c r="A212" i="23"/>
  <c r="J211" i="23"/>
  <c r="I211" i="23"/>
  <c r="H211" i="23"/>
  <c r="G211" i="23"/>
  <c r="A211" i="23"/>
  <c r="J210" i="23"/>
  <c r="I210" i="23"/>
  <c r="H210" i="23"/>
  <c r="G210" i="23"/>
  <c r="A210" i="23" s="1"/>
  <c r="J209" i="23"/>
  <c r="I209" i="23"/>
  <c r="H209" i="23"/>
  <c r="G209" i="23"/>
  <c r="A209" i="23"/>
  <c r="J208" i="23"/>
  <c r="I208" i="23"/>
  <c r="H208" i="23"/>
  <c r="G208" i="23"/>
  <c r="A208" i="23" s="1"/>
  <c r="J207" i="23"/>
  <c r="I207" i="23"/>
  <c r="H207" i="23"/>
  <c r="G207" i="23"/>
  <c r="A207" i="23"/>
  <c r="J206" i="23"/>
  <c r="I206" i="23"/>
  <c r="H206" i="23"/>
  <c r="G206" i="23"/>
  <c r="A206" i="23"/>
  <c r="J205" i="23"/>
  <c r="I205" i="23"/>
  <c r="H205" i="23"/>
  <c r="G205" i="23"/>
  <c r="A205" i="23"/>
  <c r="J204" i="23"/>
  <c r="I204" i="23"/>
  <c r="H204" i="23"/>
  <c r="G204" i="23"/>
  <c r="A204" i="23" s="1"/>
  <c r="J203" i="23"/>
  <c r="I203" i="23"/>
  <c r="H203" i="23"/>
  <c r="G203" i="23"/>
  <c r="A203" i="23" s="1"/>
  <c r="J202" i="23"/>
  <c r="I202" i="23"/>
  <c r="H202" i="23"/>
  <c r="G202" i="23"/>
  <c r="A202" i="23"/>
  <c r="J201" i="23"/>
  <c r="I201" i="23"/>
  <c r="H201" i="23"/>
  <c r="G201" i="23"/>
  <c r="A201" i="23"/>
  <c r="J200" i="23"/>
  <c r="I200" i="23"/>
  <c r="H200" i="23"/>
  <c r="G200" i="23"/>
  <c r="A200" i="23"/>
  <c r="J199" i="23"/>
  <c r="I199" i="23"/>
  <c r="H199" i="23"/>
  <c r="G199" i="23"/>
  <c r="A199" i="23"/>
  <c r="J198" i="23"/>
  <c r="I198" i="23"/>
  <c r="H198" i="23"/>
  <c r="G198" i="23"/>
  <c r="A198" i="23" s="1"/>
  <c r="J197" i="23"/>
  <c r="I197" i="23"/>
  <c r="H197" i="23"/>
  <c r="G197" i="23"/>
  <c r="A197" i="23" s="1"/>
  <c r="J196" i="23"/>
  <c r="I196" i="23"/>
  <c r="H196" i="23"/>
  <c r="G196" i="23"/>
  <c r="A196" i="23" s="1"/>
  <c r="J195" i="23"/>
  <c r="I195" i="23"/>
  <c r="H195" i="23"/>
  <c r="G195" i="23"/>
  <c r="A195" i="23"/>
  <c r="J194" i="23"/>
  <c r="I194" i="23"/>
  <c r="H194" i="23"/>
  <c r="G194" i="23"/>
  <c r="A194" i="23" s="1"/>
  <c r="J193" i="23"/>
  <c r="I193" i="23"/>
  <c r="H193" i="23"/>
  <c r="G193" i="23"/>
  <c r="A193" i="23"/>
  <c r="I192" i="23"/>
  <c r="H192" i="23"/>
  <c r="G192" i="23"/>
  <c r="A192" i="23"/>
  <c r="J191" i="23"/>
  <c r="I191" i="23"/>
  <c r="H191" i="23"/>
  <c r="G191" i="23"/>
  <c r="A191" i="23" s="1"/>
  <c r="J190" i="23"/>
  <c r="I190" i="23"/>
  <c r="H190" i="23"/>
  <c r="G190" i="23"/>
  <c r="A190" i="23"/>
  <c r="J189" i="23"/>
  <c r="I189" i="23"/>
  <c r="H189" i="23"/>
  <c r="G189" i="23"/>
  <c r="A189" i="23" s="1"/>
  <c r="J188" i="23"/>
  <c r="I188" i="23"/>
  <c r="H188" i="23"/>
  <c r="G188" i="23"/>
  <c r="A188" i="23"/>
  <c r="J187" i="23"/>
  <c r="I187" i="23"/>
  <c r="H187" i="23"/>
  <c r="G187" i="23"/>
  <c r="A187" i="23"/>
  <c r="A186" i="23"/>
  <c r="J185" i="23"/>
  <c r="I185" i="23"/>
  <c r="H185" i="23"/>
  <c r="G185" i="23"/>
  <c r="A185" i="23" s="1"/>
  <c r="J184" i="23"/>
  <c r="I184" i="23"/>
  <c r="H184" i="23"/>
  <c r="G184" i="23"/>
  <c r="A184" i="23"/>
  <c r="J183" i="23"/>
  <c r="I183" i="23"/>
  <c r="H183" i="23"/>
  <c r="G183" i="23"/>
  <c r="A183" i="23"/>
  <c r="J182" i="23"/>
  <c r="I182" i="23"/>
  <c r="H182" i="23"/>
  <c r="G182" i="23"/>
  <c r="A182" i="23" s="1"/>
  <c r="J181" i="23"/>
  <c r="I181" i="23"/>
  <c r="H181" i="23"/>
  <c r="G181" i="23"/>
  <c r="A181" i="23" s="1"/>
  <c r="J180" i="23"/>
  <c r="I180" i="23"/>
  <c r="H180" i="23"/>
  <c r="G180" i="23"/>
  <c r="A180" i="23" s="1"/>
  <c r="J179" i="23"/>
  <c r="I179" i="23"/>
  <c r="H179" i="23"/>
  <c r="G179" i="23"/>
  <c r="A179" i="23"/>
  <c r="J178" i="23"/>
  <c r="I178" i="23"/>
  <c r="H178" i="23"/>
  <c r="G178" i="23"/>
  <c r="A178" i="23" s="1"/>
  <c r="J177" i="23"/>
  <c r="I177" i="23"/>
  <c r="H177" i="23"/>
  <c r="G177" i="23"/>
  <c r="A177" i="23" s="1"/>
  <c r="J176" i="23"/>
  <c r="I176" i="23"/>
  <c r="H176" i="23"/>
  <c r="G176" i="23"/>
  <c r="A176" i="23"/>
  <c r="J175" i="23"/>
  <c r="I175" i="23"/>
  <c r="H175" i="23"/>
  <c r="G175" i="23"/>
  <c r="A175" i="23"/>
  <c r="J174" i="23"/>
  <c r="I174" i="23"/>
  <c r="H174" i="23"/>
  <c r="G174" i="23"/>
  <c r="A174" i="23"/>
  <c r="J173" i="23"/>
  <c r="I173" i="23"/>
  <c r="H173" i="23"/>
  <c r="G173" i="23"/>
  <c r="A173" i="23" s="1"/>
  <c r="J172" i="23"/>
  <c r="I172" i="23"/>
  <c r="H172" i="23"/>
  <c r="G172" i="23"/>
  <c r="A172" i="23" s="1"/>
  <c r="J171" i="23"/>
  <c r="I171" i="23"/>
  <c r="H171" i="23"/>
  <c r="G171" i="23"/>
  <c r="A171" i="23" s="1"/>
  <c r="J170" i="23"/>
  <c r="I170" i="23"/>
  <c r="H170" i="23"/>
  <c r="G170" i="23"/>
  <c r="A170" i="23"/>
  <c r="J169" i="23"/>
  <c r="I169" i="23"/>
  <c r="H169" i="23"/>
  <c r="G169" i="23"/>
  <c r="A169" i="23"/>
  <c r="J168" i="23"/>
  <c r="I168" i="23"/>
  <c r="H168" i="23"/>
  <c r="G168" i="23"/>
  <c r="A168" i="23" s="1"/>
  <c r="J167" i="23"/>
  <c r="I167" i="23"/>
  <c r="H167" i="23"/>
  <c r="G167" i="23"/>
  <c r="A167" i="23" s="1"/>
  <c r="J166" i="23"/>
  <c r="I166" i="23"/>
  <c r="H166" i="23"/>
  <c r="G166" i="23"/>
  <c r="A166" i="23" s="1"/>
  <c r="J165" i="23"/>
  <c r="I165" i="23"/>
  <c r="H165" i="23"/>
  <c r="G165" i="23"/>
  <c r="A165" i="23"/>
  <c r="J164" i="23"/>
  <c r="I164" i="23"/>
  <c r="H164" i="23"/>
  <c r="G164" i="23"/>
  <c r="A164" i="23" s="1"/>
  <c r="J163" i="23"/>
  <c r="I163" i="23"/>
  <c r="H163" i="23"/>
  <c r="G163" i="23"/>
  <c r="A163" i="23" s="1"/>
  <c r="J162" i="23"/>
  <c r="I162" i="23"/>
  <c r="H162" i="23"/>
  <c r="G162" i="23"/>
  <c r="A162" i="23" s="1"/>
  <c r="J161" i="23"/>
  <c r="I161" i="23"/>
  <c r="H161" i="23"/>
  <c r="G161" i="23"/>
  <c r="A161" i="23" s="1"/>
  <c r="J160" i="23"/>
  <c r="I160" i="23"/>
  <c r="H160" i="23"/>
  <c r="G160" i="23"/>
  <c r="A160" i="23"/>
  <c r="J159" i="23"/>
  <c r="I159" i="23"/>
  <c r="H159" i="23"/>
  <c r="G159" i="23"/>
  <c r="A159" i="23"/>
  <c r="J158" i="23"/>
  <c r="I158" i="23"/>
  <c r="H158" i="23"/>
  <c r="G158" i="23"/>
  <c r="A158" i="23" s="1"/>
  <c r="J157" i="23"/>
  <c r="I157" i="23"/>
  <c r="H157" i="23"/>
  <c r="G157" i="23"/>
  <c r="A157" i="23" s="1"/>
  <c r="J156" i="23"/>
  <c r="I156" i="23"/>
  <c r="H156" i="23"/>
  <c r="G156" i="23"/>
  <c r="A156" i="23" s="1"/>
  <c r="J155" i="23"/>
  <c r="I155" i="23"/>
  <c r="H155" i="23"/>
  <c r="G155" i="23"/>
  <c r="A155" i="23" s="1"/>
  <c r="J154" i="23"/>
  <c r="I154" i="23"/>
  <c r="H154" i="23"/>
  <c r="G154" i="23"/>
  <c r="A154" i="23" s="1"/>
  <c r="J153" i="23"/>
  <c r="I153" i="23"/>
  <c r="H153" i="23"/>
  <c r="G153" i="23"/>
  <c r="A153" i="23" s="1"/>
  <c r="J152" i="23"/>
  <c r="I152" i="23"/>
  <c r="H152" i="23"/>
  <c r="G152" i="23"/>
  <c r="A152" i="23"/>
  <c r="J151" i="23"/>
  <c r="I151" i="23"/>
  <c r="H151" i="23"/>
  <c r="G151" i="23"/>
  <c r="A151" i="23" s="1"/>
  <c r="J150" i="23"/>
  <c r="I150" i="23"/>
  <c r="H150" i="23"/>
  <c r="G150" i="23"/>
  <c r="A150" i="23"/>
  <c r="J149" i="23"/>
  <c r="I149" i="23"/>
  <c r="H149" i="23"/>
  <c r="G149" i="23"/>
  <c r="A149" i="23" s="1"/>
  <c r="J148" i="23"/>
  <c r="I148" i="23"/>
  <c r="H148" i="23"/>
  <c r="G148" i="23"/>
  <c r="A148" i="23" s="1"/>
  <c r="J147" i="23"/>
  <c r="I147" i="23"/>
  <c r="H147" i="23"/>
  <c r="G147" i="23"/>
  <c r="A147" i="23"/>
  <c r="J146" i="23"/>
  <c r="I146" i="23"/>
  <c r="H146" i="23"/>
  <c r="G146" i="23"/>
  <c r="A146" i="23" s="1"/>
  <c r="J145" i="23"/>
  <c r="I145" i="23"/>
  <c r="H145" i="23"/>
  <c r="G145" i="23"/>
  <c r="A145" i="23" s="1"/>
  <c r="J144" i="23"/>
  <c r="I144" i="23"/>
  <c r="H144" i="23"/>
  <c r="G144" i="23"/>
  <c r="A144" i="23" s="1"/>
  <c r="J143" i="23"/>
  <c r="I143" i="23"/>
  <c r="H143" i="23"/>
  <c r="G143" i="23"/>
  <c r="A143" i="23" s="1"/>
  <c r="J142" i="23"/>
  <c r="I142" i="23"/>
  <c r="H142" i="23"/>
  <c r="G142" i="23"/>
  <c r="A142" i="23" s="1"/>
  <c r="J141" i="23"/>
  <c r="I141" i="23"/>
  <c r="H141" i="23"/>
  <c r="G141" i="23"/>
  <c r="A141" i="23"/>
  <c r="J140" i="23"/>
  <c r="I140" i="23"/>
  <c r="H140" i="23"/>
  <c r="G140" i="23"/>
  <c r="A140" i="23"/>
  <c r="J139" i="23"/>
  <c r="I139" i="23"/>
  <c r="H139" i="23"/>
  <c r="G139" i="23"/>
  <c r="A139" i="23" s="1"/>
  <c r="J138" i="23"/>
  <c r="I138" i="23"/>
  <c r="H138" i="23"/>
  <c r="G138" i="23"/>
  <c r="A138" i="23" s="1"/>
  <c r="J137" i="23"/>
  <c r="I137" i="23"/>
  <c r="H137" i="23"/>
  <c r="G137" i="23"/>
  <c r="A137" i="23" s="1"/>
  <c r="J136" i="23"/>
  <c r="I136" i="23"/>
  <c r="H136" i="23"/>
  <c r="G136" i="23"/>
  <c r="A136" i="23"/>
  <c r="J135" i="23"/>
  <c r="I135" i="23"/>
  <c r="H135" i="23"/>
  <c r="G135" i="23"/>
  <c r="A135" i="23"/>
  <c r="J134" i="23"/>
  <c r="I134" i="23"/>
  <c r="H134" i="23"/>
  <c r="G134" i="23"/>
  <c r="A134" i="23" s="1"/>
  <c r="J133" i="23"/>
  <c r="I133" i="23"/>
  <c r="H133" i="23"/>
  <c r="G133" i="23"/>
  <c r="A133" i="23" s="1"/>
  <c r="I132" i="23"/>
  <c r="H132" i="23"/>
  <c r="A132" i="23"/>
  <c r="A131" i="23"/>
  <c r="J130" i="23"/>
  <c r="I130" i="23"/>
  <c r="H130" i="23"/>
  <c r="G130" i="23"/>
  <c r="A130" i="23" s="1"/>
  <c r="I129" i="23"/>
  <c r="H129" i="23"/>
  <c r="A129" i="23"/>
  <c r="I128" i="23"/>
  <c r="H128" i="23"/>
  <c r="A128" i="23"/>
  <c r="A127" i="23"/>
  <c r="J126" i="23"/>
  <c r="I126" i="23"/>
  <c r="H126" i="23"/>
  <c r="G126" i="23"/>
  <c r="A126" i="23" s="1"/>
  <c r="A125" i="23"/>
  <c r="A124" i="23"/>
  <c r="J123" i="23"/>
  <c r="I123" i="23"/>
  <c r="H123" i="23"/>
  <c r="G123" i="23"/>
  <c r="A123" i="23" s="1"/>
  <c r="J122" i="23"/>
  <c r="I122" i="23"/>
  <c r="H122" i="23"/>
  <c r="G122" i="23"/>
  <c r="A122" i="23"/>
  <c r="I121" i="23"/>
  <c r="H121" i="23"/>
  <c r="G121" i="23"/>
  <c r="A121" i="23" s="1"/>
  <c r="I120" i="23"/>
  <c r="H120" i="23"/>
  <c r="G120" i="23"/>
  <c r="A120" i="23"/>
  <c r="G119" i="23"/>
  <c r="A119" i="23"/>
  <c r="G118" i="23"/>
  <c r="A118" i="23" s="1"/>
  <c r="G117" i="23"/>
  <c r="A117" i="23" s="1"/>
  <c r="G116" i="23"/>
  <c r="A116" i="23"/>
  <c r="I115" i="23"/>
  <c r="H115" i="23"/>
  <c r="A115" i="23"/>
  <c r="I114" i="23"/>
  <c r="H114" i="23"/>
  <c r="A114" i="23"/>
  <c r="I113" i="23"/>
  <c r="H113" i="23"/>
  <c r="A113" i="23"/>
  <c r="J112" i="23"/>
  <c r="I112" i="23"/>
  <c r="H112" i="23"/>
  <c r="A112" i="23"/>
  <c r="I111" i="23"/>
  <c r="H111" i="23"/>
  <c r="A111" i="23"/>
  <c r="I110" i="23"/>
  <c r="H110" i="23"/>
  <c r="A110" i="23"/>
  <c r="I109" i="23"/>
  <c r="H109" i="23"/>
  <c r="A109" i="23"/>
  <c r="I108" i="23"/>
  <c r="H108" i="23"/>
  <c r="A108" i="23"/>
  <c r="I107" i="23"/>
  <c r="H107" i="23"/>
  <c r="A107" i="23"/>
  <c r="J106" i="23"/>
  <c r="I106" i="23"/>
  <c r="H106" i="23"/>
  <c r="A106" i="23"/>
  <c r="I105" i="23"/>
  <c r="H105" i="23"/>
  <c r="A105" i="23"/>
  <c r="I104" i="23"/>
  <c r="H104" i="23"/>
  <c r="A104" i="23"/>
  <c r="J103" i="23"/>
  <c r="I103" i="23"/>
  <c r="H103" i="23"/>
  <c r="G103" i="23"/>
  <c r="A103" i="23"/>
  <c r="J102" i="23"/>
  <c r="I102" i="23"/>
  <c r="H102" i="23"/>
  <c r="G102" i="23"/>
  <c r="A102" i="23"/>
  <c r="J101" i="23"/>
  <c r="I101" i="23"/>
  <c r="H101" i="23"/>
  <c r="G101" i="23"/>
  <c r="A101" i="23" s="1"/>
  <c r="J100" i="23"/>
  <c r="I100" i="23"/>
  <c r="H100" i="23"/>
  <c r="G100" i="23"/>
  <c r="A100" i="23"/>
  <c r="I99" i="23"/>
  <c r="H99" i="23"/>
  <c r="G99" i="23"/>
  <c r="A99" i="23" s="1"/>
  <c r="J98" i="23"/>
  <c r="I98" i="23"/>
  <c r="H98" i="23"/>
  <c r="G98" i="23"/>
  <c r="A98" i="23" s="1"/>
  <c r="J97" i="23"/>
  <c r="I97" i="23"/>
  <c r="H97" i="23"/>
  <c r="G97" i="23"/>
  <c r="A97" i="23"/>
  <c r="J96" i="23"/>
  <c r="I96" i="23"/>
  <c r="H96" i="23"/>
  <c r="G96" i="23"/>
  <c r="A96" i="23" s="1"/>
  <c r="J95" i="23"/>
  <c r="I95" i="23"/>
  <c r="H95" i="23"/>
  <c r="G95" i="23"/>
  <c r="A95" i="23" s="1"/>
  <c r="I94" i="23"/>
  <c r="H94" i="23"/>
  <c r="A94" i="23"/>
  <c r="A93" i="23"/>
  <c r="J92" i="23"/>
  <c r="I92" i="23"/>
  <c r="H92" i="23"/>
  <c r="G92" i="23"/>
  <c r="A92" i="23"/>
  <c r="I91" i="23"/>
  <c r="H91" i="23"/>
  <c r="G91" i="23"/>
  <c r="A91" i="23" s="1"/>
  <c r="J90" i="23"/>
  <c r="I90" i="23"/>
  <c r="H90" i="23"/>
  <c r="G90" i="23"/>
  <c r="A90" i="23"/>
  <c r="I89" i="23"/>
  <c r="H89" i="23"/>
  <c r="A89" i="23"/>
  <c r="H88" i="23"/>
  <c r="A88" i="23"/>
  <c r="H87" i="23"/>
  <c r="A87" i="23"/>
  <c r="H86" i="23"/>
  <c r="A86" i="23"/>
  <c r="J85" i="23"/>
  <c r="I85" i="23"/>
  <c r="H85" i="23"/>
  <c r="G85" i="23"/>
  <c r="A85" i="23" s="1"/>
  <c r="J84" i="23"/>
  <c r="I84" i="23"/>
  <c r="H84" i="23"/>
  <c r="G84" i="23"/>
  <c r="A84" i="23" s="1"/>
  <c r="J83" i="23"/>
  <c r="I83" i="23"/>
  <c r="H83" i="23"/>
  <c r="G83" i="23"/>
  <c r="A83" i="23"/>
  <c r="A82" i="23"/>
  <c r="I81" i="23"/>
  <c r="H81" i="23"/>
  <c r="A81" i="23"/>
  <c r="I80" i="23"/>
  <c r="H80" i="23"/>
  <c r="A80" i="23"/>
  <c r="I79" i="23"/>
  <c r="H79" i="23"/>
  <c r="A79" i="23"/>
  <c r="J78" i="23"/>
  <c r="I78" i="23"/>
  <c r="H78" i="23"/>
  <c r="A78" i="23"/>
  <c r="I77" i="23"/>
  <c r="H77" i="23"/>
  <c r="A77" i="23"/>
  <c r="I76" i="23"/>
  <c r="H76" i="23"/>
  <c r="A76" i="23"/>
  <c r="I75" i="23"/>
  <c r="H75" i="23"/>
  <c r="G75" i="23"/>
  <c r="A75" i="23"/>
  <c r="A74" i="23"/>
  <c r="I73" i="23"/>
  <c r="H73" i="23"/>
  <c r="A73" i="23"/>
  <c r="J72" i="23"/>
  <c r="I72" i="23"/>
  <c r="H72" i="23"/>
  <c r="G72" i="23"/>
  <c r="A72" i="23"/>
  <c r="J71" i="23"/>
  <c r="I71" i="23"/>
  <c r="H71" i="23"/>
  <c r="G71" i="23"/>
  <c r="A71" i="23" s="1"/>
  <c r="J70" i="23"/>
  <c r="I70" i="23"/>
  <c r="H70" i="23"/>
  <c r="G70" i="23"/>
  <c r="A70" i="23" s="1"/>
  <c r="J69" i="23"/>
  <c r="I69" i="23"/>
  <c r="H69" i="23"/>
  <c r="G69" i="23"/>
  <c r="A69" i="23" s="1"/>
  <c r="J68" i="23"/>
  <c r="I68" i="23"/>
  <c r="H68" i="23"/>
  <c r="G68" i="23"/>
  <c r="A68" i="23" s="1"/>
  <c r="J67" i="23"/>
  <c r="I67" i="23"/>
  <c r="H67" i="23"/>
  <c r="G67" i="23"/>
  <c r="A67" i="23" s="1"/>
  <c r="J66" i="23"/>
  <c r="I66" i="23"/>
  <c r="H66" i="23"/>
  <c r="G66" i="23"/>
  <c r="A66" i="23" s="1"/>
  <c r="J65" i="23"/>
  <c r="I65" i="23"/>
  <c r="H65" i="23"/>
  <c r="G65" i="23"/>
  <c r="A65" i="23" s="1"/>
  <c r="J64" i="23"/>
  <c r="I64" i="23"/>
  <c r="H64" i="23"/>
  <c r="G64" i="23"/>
  <c r="A64" i="23"/>
  <c r="J63" i="23"/>
  <c r="I63" i="23"/>
  <c r="H63" i="23"/>
  <c r="G63" i="23"/>
  <c r="A63" i="23" s="1"/>
  <c r="J62" i="23"/>
  <c r="I62" i="23"/>
  <c r="H62" i="23"/>
  <c r="G62" i="23"/>
  <c r="A62" i="23" s="1"/>
  <c r="I61" i="23"/>
  <c r="H61" i="23"/>
  <c r="A61" i="23"/>
  <c r="J60" i="23"/>
  <c r="I60" i="23"/>
  <c r="H60" i="23"/>
  <c r="G60" i="23"/>
  <c r="A60" i="23" s="1"/>
  <c r="J59" i="23"/>
  <c r="I59" i="23"/>
  <c r="H59" i="23"/>
  <c r="G59" i="23"/>
  <c r="A59" i="23"/>
  <c r="J58" i="23"/>
  <c r="I58" i="23"/>
  <c r="H58" i="23"/>
  <c r="G58" i="23"/>
  <c r="A58" i="23" s="1"/>
  <c r="J57" i="23"/>
  <c r="I57" i="23"/>
  <c r="H57" i="23"/>
  <c r="G57" i="23"/>
  <c r="A57" i="23"/>
  <c r="I56" i="23"/>
  <c r="H56" i="23"/>
  <c r="A56" i="23"/>
  <c r="J55" i="23"/>
  <c r="I55" i="23"/>
  <c r="H55" i="23"/>
  <c r="G55" i="23"/>
  <c r="A55" i="23"/>
  <c r="J54" i="23"/>
  <c r="I54" i="23"/>
  <c r="H54" i="23"/>
  <c r="G54" i="23"/>
  <c r="A54" i="23" s="1"/>
  <c r="J53" i="23"/>
  <c r="I53" i="23"/>
  <c r="H53" i="23"/>
  <c r="G53" i="23"/>
  <c r="A53" i="23"/>
  <c r="J52" i="23"/>
  <c r="I52" i="23"/>
  <c r="H52" i="23"/>
  <c r="G52" i="23"/>
  <c r="A52" i="23" s="1"/>
  <c r="J51" i="23"/>
  <c r="I51" i="23"/>
  <c r="H51" i="23"/>
  <c r="G51" i="23"/>
  <c r="A51" i="23" s="1"/>
  <c r="I50" i="23"/>
  <c r="H50" i="23"/>
  <c r="A50" i="23"/>
  <c r="J49" i="23"/>
  <c r="I49" i="23"/>
  <c r="H49" i="23"/>
  <c r="G49" i="23"/>
  <c r="A49" i="23" s="1"/>
  <c r="A48" i="23"/>
  <c r="J47" i="23"/>
  <c r="I47" i="23"/>
  <c r="H47" i="23"/>
  <c r="G47" i="23"/>
  <c r="A47" i="23" s="1"/>
  <c r="J46" i="23"/>
  <c r="I46" i="23"/>
  <c r="H46" i="23"/>
  <c r="G46" i="23"/>
  <c r="A46" i="23" s="1"/>
  <c r="J45" i="23"/>
  <c r="I45" i="23"/>
  <c r="H45" i="23"/>
  <c r="G45" i="23"/>
  <c r="A45" i="23" s="1"/>
  <c r="J44" i="23"/>
  <c r="I44" i="23"/>
  <c r="H44" i="23"/>
  <c r="G44" i="23"/>
  <c r="A44" i="23" s="1"/>
  <c r="J43" i="23"/>
  <c r="I43" i="23"/>
  <c r="H43" i="23"/>
  <c r="G43" i="23"/>
  <c r="A43" i="23"/>
  <c r="J42" i="23"/>
  <c r="I42" i="23"/>
  <c r="H42" i="23"/>
  <c r="G42" i="23"/>
  <c r="A42" i="23" s="1"/>
  <c r="I41" i="23"/>
  <c r="H41" i="23"/>
  <c r="G41" i="23"/>
  <c r="A41" i="23" s="1"/>
  <c r="I40" i="23"/>
  <c r="H40" i="23"/>
  <c r="G40" i="23"/>
  <c r="A40" i="23" s="1"/>
  <c r="J39" i="23"/>
  <c r="I39" i="23"/>
  <c r="H39" i="23"/>
  <c r="A39" i="23"/>
  <c r="I38" i="23"/>
  <c r="H38" i="23"/>
  <c r="G38" i="23"/>
  <c r="A38" i="23" s="1"/>
  <c r="I37" i="23"/>
  <c r="H37" i="23"/>
  <c r="A37" i="23"/>
  <c r="J36" i="23"/>
  <c r="I36" i="23"/>
  <c r="H36" i="23"/>
  <c r="G36" i="23"/>
  <c r="A36" i="23" s="1"/>
  <c r="J35" i="23"/>
  <c r="I35" i="23"/>
  <c r="H35" i="23"/>
  <c r="G35" i="23"/>
  <c r="A35" i="23"/>
  <c r="J34" i="23"/>
  <c r="I34" i="23"/>
  <c r="H34" i="23"/>
  <c r="G34" i="23"/>
  <c r="A34" i="23"/>
  <c r="J33" i="23"/>
  <c r="I33" i="23"/>
  <c r="H33" i="23"/>
  <c r="G33" i="23"/>
  <c r="A33" i="23"/>
  <c r="J32" i="23"/>
  <c r="I32" i="23"/>
  <c r="H32" i="23"/>
  <c r="G32" i="23"/>
  <c r="A32" i="23"/>
  <c r="J31" i="23"/>
  <c r="I31" i="23"/>
  <c r="H31" i="23"/>
  <c r="G31" i="23"/>
  <c r="A31" i="23" s="1"/>
  <c r="J30" i="23"/>
  <c r="I30" i="23"/>
  <c r="H30" i="23"/>
  <c r="G30" i="23"/>
  <c r="A30" i="23" s="1"/>
  <c r="I29" i="23"/>
  <c r="H29" i="23"/>
  <c r="G29" i="23"/>
  <c r="A29" i="23" s="1"/>
  <c r="J28" i="23"/>
  <c r="I28" i="23"/>
  <c r="H28" i="23"/>
  <c r="G28" i="23"/>
  <c r="A28" i="23" s="1"/>
  <c r="J27" i="23"/>
  <c r="I27" i="23"/>
  <c r="H27" i="23"/>
  <c r="G27" i="23"/>
  <c r="A27" i="23" s="1"/>
  <c r="J26" i="23"/>
  <c r="I26" i="23"/>
  <c r="H26" i="23"/>
  <c r="G26" i="23"/>
  <c r="A26" i="23" s="1"/>
  <c r="J25" i="23"/>
  <c r="I25" i="23"/>
  <c r="H25" i="23"/>
  <c r="G25" i="23"/>
  <c r="A25" i="23" s="1"/>
  <c r="J24" i="23"/>
  <c r="I24" i="23"/>
  <c r="H24" i="23"/>
  <c r="G24" i="23"/>
  <c r="A24" i="23"/>
  <c r="J23" i="23"/>
  <c r="I23" i="23"/>
  <c r="H23" i="23"/>
  <c r="G23" i="23"/>
  <c r="A23" i="23" s="1"/>
  <c r="J22" i="23"/>
  <c r="I22" i="23"/>
  <c r="H22" i="23"/>
  <c r="G22" i="23"/>
  <c r="A22" i="23" s="1"/>
  <c r="J21" i="23"/>
  <c r="I21" i="23"/>
  <c r="H21" i="23"/>
  <c r="G21" i="23"/>
  <c r="A21" i="23"/>
  <c r="I20" i="23"/>
  <c r="H20" i="23"/>
  <c r="G20" i="23"/>
  <c r="A20" i="23" s="1"/>
  <c r="J19" i="23"/>
  <c r="I19" i="23"/>
  <c r="H19" i="23"/>
  <c r="G19" i="23"/>
  <c r="A19" i="23"/>
  <c r="J18" i="23"/>
  <c r="I18" i="23"/>
  <c r="H18" i="23"/>
  <c r="G18" i="23"/>
  <c r="A18" i="23" s="1"/>
  <c r="J17" i="23"/>
  <c r="I17" i="23"/>
  <c r="H17" i="23"/>
  <c r="G17" i="23"/>
  <c r="A17" i="23" s="1"/>
  <c r="J16" i="23"/>
  <c r="I16" i="23"/>
  <c r="H16" i="23"/>
  <c r="G16" i="23"/>
  <c r="A16" i="23" s="1"/>
  <c r="J15" i="23"/>
  <c r="I15" i="23"/>
  <c r="H15" i="23"/>
  <c r="G15" i="23"/>
  <c r="A15" i="23"/>
  <c r="J14" i="23"/>
  <c r="I14" i="23"/>
  <c r="H14" i="23"/>
  <c r="G14" i="23"/>
  <c r="A14" i="23"/>
  <c r="J13" i="23"/>
  <c r="I13" i="23"/>
  <c r="H13" i="23"/>
  <c r="G13" i="23"/>
  <c r="A13" i="23" s="1"/>
  <c r="J12" i="23"/>
  <c r="I12" i="23"/>
  <c r="H12" i="23"/>
  <c r="G12" i="23"/>
  <c r="A12" i="23" s="1"/>
  <c r="J11" i="23"/>
  <c r="I11" i="23"/>
  <c r="H11" i="23"/>
  <c r="G11" i="23"/>
  <c r="A11" i="23" s="1"/>
  <c r="J10" i="23"/>
  <c r="I10" i="23"/>
  <c r="H10" i="23"/>
  <c r="G10" i="23"/>
  <c r="A10" i="23" s="1"/>
  <c r="I9" i="23"/>
  <c r="H9" i="23"/>
  <c r="G9" i="23"/>
  <c r="A9" i="23" s="1"/>
  <c r="J8" i="23"/>
  <c r="I8" i="23"/>
  <c r="H8" i="23"/>
  <c r="G8" i="23"/>
  <c r="A8" i="23"/>
  <c r="J7" i="23"/>
  <c r="I7" i="23"/>
  <c r="H7" i="23"/>
  <c r="G7" i="23"/>
  <c r="A7" i="23"/>
  <c r="J6" i="23"/>
  <c r="I6" i="23"/>
  <c r="H6" i="23"/>
  <c r="G6" i="23"/>
  <c r="A6" i="23"/>
  <c r="I5" i="23"/>
  <c r="H5" i="23"/>
  <c r="G5" i="23"/>
  <c r="A5" i="23" s="1"/>
  <c r="J4" i="23"/>
  <c r="I4" i="23"/>
  <c r="H4" i="23"/>
  <c r="G4" i="23"/>
  <c r="A4" i="23"/>
  <c r="J3" i="23"/>
  <c r="I3" i="23"/>
  <c r="H3" i="23"/>
  <c r="G3" i="23"/>
  <c r="A3" i="23"/>
  <c r="A340" i="23" l="1"/>
  <c r="A333" i="23"/>
  <c r="A313" i="23"/>
  <c r="A309" i="23"/>
  <c r="A301" i="23"/>
  <c r="A296" i="23"/>
  <c r="A259" i="23"/>
  <c r="A308" i="23"/>
  <c r="A300" i="23"/>
  <c r="A283" i="23"/>
  <c r="A270" i="23"/>
  <c r="A264" i="23"/>
  <c r="A258" i="23"/>
  <c r="A304" i="23"/>
  <c r="A303" i="23"/>
  <c r="A290" i="23"/>
  <c r="A263" i="23"/>
  <c r="A254" i="23"/>
  <c r="A253" i="23"/>
  <c r="A234" i="23"/>
  <c r="A224" i="23"/>
  <c r="A339" i="23"/>
  <c r="A315" i="23"/>
  <c r="A306" i="23"/>
  <c r="A299" i="23"/>
  <c r="A293" i="23"/>
  <c r="A292" i="23"/>
  <c r="A289" i="23"/>
  <c r="A287" i="23"/>
  <c r="A285" i="23"/>
  <c r="A284" i="23"/>
  <c r="A280" i="23"/>
  <c r="A276" i="23"/>
  <c r="A275" i="23"/>
  <c r="A273" i="23"/>
  <c r="A271" i="23"/>
  <c r="A268" i="23"/>
  <c r="A261" i="23"/>
  <c r="A260" i="23"/>
  <c r="A244" i="23"/>
  <c r="A238" i="23"/>
  <c r="A232" i="23"/>
  <c r="A231" i="23"/>
  <c r="O370" i="5"/>
  <c r="N370" i="5"/>
  <c r="M374" i="5"/>
  <c r="O374" i="5"/>
  <c r="R376" i="5"/>
  <c r="M376" i="5"/>
  <c r="O353" i="5"/>
  <c r="R353" i="5"/>
  <c r="R357" i="5"/>
  <c r="O359" i="5"/>
  <c r="Q359" i="5"/>
  <c r="M382" i="5"/>
  <c r="S382" i="5"/>
  <c r="N382" i="5"/>
  <c r="N369" i="5"/>
  <c r="R384" i="5"/>
  <c r="Q384" i="5"/>
  <c r="M384" i="5"/>
  <c r="O361" i="5"/>
  <c r="M361" i="5"/>
  <c r="N361" i="5"/>
  <c r="Q361" i="5"/>
  <c r="R361" i="5"/>
  <c r="M378" i="5"/>
  <c r="N378" i="5"/>
  <c r="O378" i="5"/>
  <c r="S378" i="5"/>
  <c r="R378" i="5"/>
  <c r="Q378" i="5"/>
  <c r="M355" i="5"/>
  <c r="O355" i="5"/>
  <c r="Q355" i="5"/>
  <c r="R355" i="5"/>
  <c r="S355" i="5"/>
  <c r="R360" i="5"/>
  <c r="M360" i="5"/>
  <c r="Q360" i="5"/>
  <c r="N377" i="5"/>
  <c r="M377" i="5"/>
  <c r="Q377" i="5"/>
  <c r="R377" i="5"/>
  <c r="M362" i="5"/>
  <c r="N362" i="5"/>
  <c r="O362" i="5"/>
  <c r="R362" i="5"/>
  <c r="S362" i="5"/>
  <c r="Q362" i="5"/>
  <c r="M383" i="5"/>
  <c r="S383" i="5"/>
  <c r="Q383" i="5"/>
  <c r="N383" i="5"/>
  <c r="O383" i="5"/>
  <c r="N385" i="5"/>
  <c r="R385" i="5"/>
  <c r="Q385" i="5"/>
  <c r="M385" i="5"/>
  <c r="M375" i="5"/>
  <c r="N375" i="5"/>
  <c r="O375" i="5"/>
  <c r="Q375" i="5"/>
  <c r="R375" i="5"/>
  <c r="S375" i="5"/>
  <c r="M358" i="5"/>
  <c r="R358" i="5"/>
  <c r="S358" i="5"/>
  <c r="Q358" i="5"/>
  <c r="O358" i="5"/>
  <c r="Q354" i="5"/>
  <c r="R354" i="5"/>
  <c r="S354" i="5"/>
  <c r="M354" i="5"/>
  <c r="O354" i="5"/>
  <c r="R352" i="5"/>
  <c r="M352" i="5"/>
  <c r="Q352" i="5"/>
  <c r="M363" i="5"/>
  <c r="R363" i="5"/>
  <c r="S363" i="5"/>
  <c r="N363" i="5"/>
  <c r="Q363" i="5"/>
  <c r="O363" i="5"/>
  <c r="R381" i="5"/>
  <c r="N381" i="5"/>
  <c r="Q379" i="5"/>
  <c r="R379" i="5"/>
  <c r="S379" i="5"/>
  <c r="M379" i="5"/>
  <c r="O379" i="5"/>
  <c r="N379" i="5"/>
  <c r="R373" i="5"/>
  <c r="N373" i="5"/>
  <c r="M371" i="5"/>
  <c r="N371" i="5"/>
  <c r="O371" i="5"/>
  <c r="Q371" i="5"/>
  <c r="R371" i="5"/>
  <c r="S371" i="5"/>
  <c r="N374" i="5"/>
  <c r="M370" i="5"/>
  <c r="Q353" i="5"/>
  <c r="Q382" i="5"/>
  <c r="M369" i="5"/>
  <c r="O367" i="5"/>
  <c r="M368" i="5"/>
  <c r="M359" i="5"/>
  <c r="Q376" i="5"/>
  <c r="S370" i="5"/>
  <c r="N367" i="5"/>
  <c r="S359" i="5"/>
  <c r="R382" i="5"/>
  <c r="O382" i="5"/>
  <c r="S374" i="5"/>
  <c r="R370" i="5"/>
  <c r="M367" i="5"/>
  <c r="N365" i="5"/>
  <c r="R359" i="5"/>
  <c r="M353" i="5"/>
  <c r="Q367" i="5"/>
  <c r="Q370" i="5"/>
  <c r="S367" i="5"/>
  <c r="R374" i="5"/>
  <c r="Q374" i="5"/>
  <c r="R369" i="5"/>
  <c r="Q369" i="5"/>
  <c r="Q368" i="5"/>
  <c r="Q357" i="5"/>
  <c r="O384" i="5"/>
  <c r="R383" i="5"/>
  <c r="S380" i="5"/>
  <c r="O376" i="5"/>
  <c r="S372" i="5"/>
  <c r="O368" i="5"/>
  <c r="S364" i="5"/>
  <c r="O360" i="5"/>
  <c r="S356" i="5"/>
  <c r="O352" i="5"/>
  <c r="Q381" i="5"/>
  <c r="Q373" i="5"/>
  <c r="Q365" i="5"/>
  <c r="S385" i="5"/>
  <c r="N384" i="5"/>
  <c r="O381" i="5"/>
  <c r="R380" i="5"/>
  <c r="S377" i="5"/>
  <c r="N376" i="5"/>
  <c r="O373" i="5"/>
  <c r="R372" i="5"/>
  <c r="S369" i="5"/>
  <c r="N368" i="5"/>
  <c r="O365" i="5"/>
  <c r="R364" i="5"/>
  <c r="S361" i="5"/>
  <c r="O357" i="5"/>
  <c r="R356" i="5"/>
  <c r="S353" i="5"/>
  <c r="Q356" i="5"/>
  <c r="M381" i="5"/>
  <c r="M373" i="5"/>
  <c r="M365" i="5"/>
  <c r="M357" i="5"/>
  <c r="S384" i="5"/>
  <c r="O380" i="5"/>
  <c r="S376" i="5"/>
  <c r="O372" i="5"/>
  <c r="S368" i="5"/>
  <c r="O364" i="5"/>
  <c r="S360" i="5"/>
  <c r="O356" i="5"/>
  <c r="S352" i="5"/>
  <c r="Q380" i="5"/>
  <c r="O385" i="5"/>
  <c r="S381" i="5"/>
  <c r="N380" i="5"/>
  <c r="O377" i="5"/>
  <c r="S373" i="5"/>
  <c r="N372" i="5"/>
  <c r="S365" i="5"/>
  <c r="N364" i="5"/>
  <c r="S357" i="5"/>
  <c r="Q372" i="5"/>
  <c r="Q364" i="5"/>
  <c r="C338" i="5"/>
  <c r="L338" i="5" s="1"/>
  <c r="D338" i="5"/>
  <c r="A338" i="5" s="1"/>
  <c r="P338" i="5"/>
  <c r="C339" i="5"/>
  <c r="L339" i="5" s="1"/>
  <c r="D339" i="5"/>
  <c r="A339" i="5" s="1"/>
  <c r="P339" i="5"/>
  <c r="C340" i="5"/>
  <c r="L340" i="5" s="1"/>
  <c r="D340" i="5"/>
  <c r="A340" i="5" s="1"/>
  <c r="S340" i="5" s="1"/>
  <c r="P340" i="5"/>
  <c r="C341" i="5"/>
  <c r="L341" i="5" s="1"/>
  <c r="D341" i="5"/>
  <c r="A341" i="5" s="1"/>
  <c r="P341" i="5"/>
  <c r="C342" i="5"/>
  <c r="L342" i="5" s="1"/>
  <c r="D342" i="5"/>
  <c r="A342" i="5" s="1"/>
  <c r="M342" i="5" s="1"/>
  <c r="P342" i="5"/>
  <c r="C343" i="5"/>
  <c r="L343" i="5" s="1"/>
  <c r="D343" i="5"/>
  <c r="A343" i="5" s="1"/>
  <c r="R343" i="5" s="1"/>
  <c r="P343" i="5"/>
  <c r="C344" i="5"/>
  <c r="L344" i="5" s="1"/>
  <c r="D344" i="5"/>
  <c r="A344" i="5" s="1"/>
  <c r="N344" i="5" s="1"/>
  <c r="P344" i="5"/>
  <c r="C346" i="5"/>
  <c r="L346" i="5" s="1"/>
  <c r="A346" i="5"/>
  <c r="P346" i="5"/>
  <c r="C347" i="5"/>
  <c r="L347" i="5" s="1"/>
  <c r="D347" i="5"/>
  <c r="A347" i="5" s="1"/>
  <c r="P347" i="5"/>
  <c r="C348" i="5"/>
  <c r="L348" i="5" s="1"/>
  <c r="D348" i="5"/>
  <c r="A348" i="5" s="1"/>
  <c r="P348" i="5"/>
  <c r="C349" i="5"/>
  <c r="L349" i="5" s="1"/>
  <c r="D349" i="5"/>
  <c r="A349" i="5" s="1"/>
  <c r="Q349" i="5" s="1"/>
  <c r="P349" i="5"/>
  <c r="C350" i="5"/>
  <c r="L350" i="5" s="1"/>
  <c r="D350" i="5"/>
  <c r="A350" i="5" s="1"/>
  <c r="M350" i="5" s="1"/>
  <c r="P350" i="5"/>
  <c r="C351" i="5"/>
  <c r="L351" i="5" s="1"/>
  <c r="D351" i="5"/>
  <c r="A351" i="5" s="1"/>
  <c r="R351" i="5" s="1"/>
  <c r="P351" i="5"/>
  <c r="B491" i="5"/>
  <c r="R339" i="5" l="1"/>
  <c r="Q339" i="5"/>
  <c r="M341" i="5"/>
  <c r="Q341" i="5"/>
  <c r="Q347" i="5"/>
  <c r="R347" i="5"/>
  <c r="O340" i="5"/>
  <c r="Q346" i="5"/>
  <c r="M346" i="5"/>
  <c r="O346" i="5"/>
  <c r="R346" i="5"/>
  <c r="S346" i="5"/>
  <c r="M348" i="5"/>
  <c r="O348" i="5"/>
  <c r="R338" i="5"/>
  <c r="O338" i="5"/>
  <c r="Q338" i="5"/>
  <c r="Q351" i="5"/>
  <c r="M340" i="5"/>
  <c r="O351" i="5"/>
  <c r="O343" i="5"/>
  <c r="O339" i="5"/>
  <c r="N349" i="5"/>
  <c r="M344" i="5"/>
  <c r="N343" i="5"/>
  <c r="N339" i="5"/>
  <c r="Q343" i="5"/>
  <c r="M343" i="5"/>
  <c r="M339" i="5"/>
  <c r="S344" i="5"/>
  <c r="S349" i="5"/>
  <c r="R344" i="5"/>
  <c r="S343" i="5"/>
  <c r="S341" i="5"/>
  <c r="Q340" i="5"/>
  <c r="S339" i="5"/>
  <c r="M351" i="5"/>
  <c r="S351" i="5"/>
  <c r="R349" i="5"/>
  <c r="Q344" i="5"/>
  <c r="R341" i="5"/>
  <c r="Q342" i="5"/>
  <c r="O347" i="5"/>
  <c r="S348" i="5"/>
  <c r="N347" i="5"/>
  <c r="O344" i="5"/>
  <c r="O349" i="5"/>
  <c r="R348" i="5"/>
  <c r="M347" i="5"/>
  <c r="O341" i="5"/>
  <c r="R340" i="5"/>
  <c r="S350" i="5"/>
  <c r="Q348" i="5"/>
  <c r="N341" i="5"/>
  <c r="Q350" i="5"/>
  <c r="S342" i="5"/>
  <c r="R350" i="5"/>
  <c r="M349" i="5"/>
  <c r="S347" i="5"/>
  <c r="N346" i="5"/>
  <c r="R342" i="5"/>
  <c r="N338" i="5"/>
  <c r="M338" i="5"/>
  <c r="N340" i="5"/>
  <c r="N348" i="5"/>
  <c r="O350" i="5"/>
  <c r="O342" i="5"/>
  <c r="S338" i="5"/>
  <c r="N350" i="5"/>
  <c r="N342" i="5"/>
  <c r="C254" i="5" l="1"/>
  <c r="L254" i="5" s="1"/>
  <c r="D254" i="5"/>
  <c r="A254" i="5" s="1"/>
  <c r="R254" i="5" s="1"/>
  <c r="P254" i="5"/>
  <c r="C255" i="5"/>
  <c r="L255" i="5" s="1"/>
  <c r="D255" i="5"/>
  <c r="A255" i="5" s="1"/>
  <c r="M255" i="5" s="1"/>
  <c r="P255" i="5"/>
  <c r="C256" i="5"/>
  <c r="L256" i="5" s="1"/>
  <c r="D256" i="5"/>
  <c r="A256" i="5" s="1"/>
  <c r="P256" i="5"/>
  <c r="C257" i="5"/>
  <c r="L257" i="5" s="1"/>
  <c r="D257" i="5"/>
  <c r="A257" i="5" s="1"/>
  <c r="Q257" i="5" s="1"/>
  <c r="P257" i="5"/>
  <c r="C258" i="5"/>
  <c r="L258" i="5" s="1"/>
  <c r="D258" i="5"/>
  <c r="A258" i="5" s="1"/>
  <c r="P258" i="5"/>
  <c r="C259" i="5"/>
  <c r="L259" i="5" s="1"/>
  <c r="D259" i="5"/>
  <c r="A259" i="5" s="1"/>
  <c r="P259" i="5"/>
  <c r="C260" i="5"/>
  <c r="L260" i="5" s="1"/>
  <c r="D260" i="5"/>
  <c r="A260" i="5" s="1"/>
  <c r="R260" i="5" s="1"/>
  <c r="P260" i="5"/>
  <c r="C261" i="5"/>
  <c r="L261" i="5" s="1"/>
  <c r="D261" i="5"/>
  <c r="A261" i="5" s="1"/>
  <c r="P261" i="5"/>
  <c r="C262" i="5"/>
  <c r="L262" i="5" s="1"/>
  <c r="D262" i="5"/>
  <c r="A262" i="5" s="1"/>
  <c r="N262" i="5" s="1"/>
  <c r="P262" i="5"/>
  <c r="C263" i="5"/>
  <c r="L263" i="5" s="1"/>
  <c r="D263" i="5"/>
  <c r="A263" i="5" s="1"/>
  <c r="Q263" i="5" s="1"/>
  <c r="P263" i="5"/>
  <c r="C264" i="5"/>
  <c r="L264" i="5" s="1"/>
  <c r="D264" i="5"/>
  <c r="A264" i="5" s="1"/>
  <c r="P264" i="5"/>
  <c r="C265" i="5"/>
  <c r="L265" i="5" s="1"/>
  <c r="D265" i="5"/>
  <c r="A265" i="5" s="1"/>
  <c r="P265" i="5"/>
  <c r="C266" i="5"/>
  <c r="L266" i="5" s="1"/>
  <c r="D266" i="5"/>
  <c r="A266" i="5" s="1"/>
  <c r="R266" i="5" s="1"/>
  <c r="P266" i="5"/>
  <c r="C267" i="5"/>
  <c r="L267" i="5" s="1"/>
  <c r="D267" i="5"/>
  <c r="A267" i="5" s="1"/>
  <c r="P267" i="5"/>
  <c r="C268" i="5"/>
  <c r="L268" i="5" s="1"/>
  <c r="D268" i="5"/>
  <c r="A268" i="5" s="1"/>
  <c r="P268" i="5"/>
  <c r="C269" i="5"/>
  <c r="L269" i="5" s="1"/>
  <c r="D269" i="5"/>
  <c r="A269" i="5" s="1"/>
  <c r="P269" i="5"/>
  <c r="C270" i="5"/>
  <c r="L270" i="5" s="1"/>
  <c r="D270" i="5"/>
  <c r="A270" i="5" s="1"/>
  <c r="M270" i="5" s="1"/>
  <c r="P270" i="5"/>
  <c r="C271" i="5"/>
  <c r="L271" i="5" s="1"/>
  <c r="D271" i="5"/>
  <c r="A271" i="5" s="1"/>
  <c r="P271" i="5"/>
  <c r="C272" i="5"/>
  <c r="L272" i="5" s="1"/>
  <c r="D272" i="5"/>
  <c r="A272" i="5" s="1"/>
  <c r="P272" i="5"/>
  <c r="C273" i="5"/>
  <c r="L273" i="5" s="1"/>
  <c r="D273" i="5"/>
  <c r="A273" i="5" s="1"/>
  <c r="P273" i="5"/>
  <c r="C274" i="5"/>
  <c r="L274" i="5" s="1"/>
  <c r="D274" i="5"/>
  <c r="A274" i="5" s="1"/>
  <c r="R274" i="5" s="1"/>
  <c r="P274" i="5"/>
  <c r="C275" i="5"/>
  <c r="L275" i="5" s="1"/>
  <c r="D275" i="5"/>
  <c r="A275" i="5" s="1"/>
  <c r="N275" i="5" s="1"/>
  <c r="P275" i="5"/>
  <c r="C276" i="5"/>
  <c r="L276" i="5" s="1"/>
  <c r="D276" i="5"/>
  <c r="A276" i="5" s="1"/>
  <c r="M276" i="5" s="1"/>
  <c r="P276" i="5"/>
  <c r="C277" i="5"/>
  <c r="L277" i="5" s="1"/>
  <c r="D277" i="5"/>
  <c r="A277" i="5" s="1"/>
  <c r="P277" i="5"/>
  <c r="C278" i="5"/>
  <c r="L278" i="5" s="1"/>
  <c r="D278" i="5"/>
  <c r="A278" i="5" s="1"/>
  <c r="P278" i="5"/>
  <c r="C279" i="5"/>
  <c r="L279" i="5" s="1"/>
  <c r="D279" i="5"/>
  <c r="A279" i="5" s="1"/>
  <c r="Q279" i="5" s="1"/>
  <c r="P279" i="5"/>
  <c r="C280" i="5"/>
  <c r="L280" i="5" s="1"/>
  <c r="D280" i="5"/>
  <c r="A280" i="5" s="1"/>
  <c r="M280" i="5" s="1"/>
  <c r="P280" i="5"/>
  <c r="C281" i="5"/>
  <c r="L281" i="5" s="1"/>
  <c r="D281" i="5"/>
  <c r="A281" i="5" s="1"/>
  <c r="R281" i="5" s="1"/>
  <c r="P281" i="5"/>
  <c r="C282" i="5"/>
  <c r="L282" i="5" s="1"/>
  <c r="D282" i="5"/>
  <c r="A282" i="5" s="1"/>
  <c r="R282" i="5" s="1"/>
  <c r="P282" i="5"/>
  <c r="C283" i="5"/>
  <c r="L283" i="5" s="1"/>
  <c r="D283" i="5"/>
  <c r="A283" i="5" s="1"/>
  <c r="P283" i="5"/>
  <c r="C284" i="5"/>
  <c r="L284" i="5" s="1"/>
  <c r="D284" i="5"/>
  <c r="A284" i="5" s="1"/>
  <c r="P284" i="5"/>
  <c r="C285" i="5"/>
  <c r="L285" i="5" s="1"/>
  <c r="D285" i="5"/>
  <c r="A285" i="5" s="1"/>
  <c r="R285" i="5" s="1"/>
  <c r="P285" i="5"/>
  <c r="C286" i="5"/>
  <c r="L286" i="5" s="1"/>
  <c r="D286" i="5"/>
  <c r="A286" i="5" s="1"/>
  <c r="N286" i="5" s="1"/>
  <c r="P286" i="5"/>
  <c r="C287" i="5"/>
  <c r="L287" i="5" s="1"/>
  <c r="D287" i="5"/>
  <c r="A287" i="5" s="1"/>
  <c r="R287" i="5" s="1"/>
  <c r="P287" i="5"/>
  <c r="C288" i="5"/>
  <c r="L288" i="5" s="1"/>
  <c r="D288" i="5"/>
  <c r="A288" i="5" s="1"/>
  <c r="P288" i="5"/>
  <c r="C289" i="5"/>
  <c r="L289" i="5" s="1"/>
  <c r="D289" i="5"/>
  <c r="A289" i="5" s="1"/>
  <c r="P289" i="5"/>
  <c r="C290" i="5"/>
  <c r="L290" i="5" s="1"/>
  <c r="D290" i="5"/>
  <c r="A290" i="5" s="1"/>
  <c r="R290" i="5" s="1"/>
  <c r="P290" i="5"/>
  <c r="C291" i="5"/>
  <c r="L291" i="5" s="1"/>
  <c r="D291" i="5"/>
  <c r="A291" i="5" s="1"/>
  <c r="N291" i="5" s="1"/>
  <c r="P291" i="5"/>
  <c r="C292" i="5"/>
  <c r="L292" i="5" s="1"/>
  <c r="D292" i="5"/>
  <c r="A292" i="5" s="1"/>
  <c r="P292" i="5"/>
  <c r="C293" i="5"/>
  <c r="L293" i="5" s="1"/>
  <c r="D293" i="5"/>
  <c r="A293" i="5" s="1"/>
  <c r="P293" i="5"/>
  <c r="C294" i="5"/>
  <c r="L294" i="5" s="1"/>
  <c r="D294" i="5"/>
  <c r="A294" i="5" s="1"/>
  <c r="P294" i="5"/>
  <c r="C295" i="5"/>
  <c r="L295" i="5" s="1"/>
  <c r="D295" i="5"/>
  <c r="A295" i="5" s="1"/>
  <c r="P295" i="5"/>
  <c r="C296" i="5"/>
  <c r="L296" i="5" s="1"/>
  <c r="D296" i="5"/>
  <c r="A296" i="5" s="1"/>
  <c r="P296" i="5"/>
  <c r="C298" i="5"/>
  <c r="L298" i="5" s="1"/>
  <c r="D298" i="5"/>
  <c r="A298" i="5" s="1"/>
  <c r="R298" i="5" s="1"/>
  <c r="P298" i="5"/>
  <c r="C299" i="5"/>
  <c r="L299" i="5" s="1"/>
  <c r="D299" i="5"/>
  <c r="A299" i="5" s="1"/>
  <c r="P299" i="5"/>
  <c r="C300" i="5"/>
  <c r="L300" i="5" s="1"/>
  <c r="D300" i="5"/>
  <c r="A300" i="5" s="1"/>
  <c r="P300" i="5"/>
  <c r="C301" i="5"/>
  <c r="L301" i="5" s="1"/>
  <c r="D301" i="5"/>
  <c r="A301" i="5" s="1"/>
  <c r="M301" i="5" s="1"/>
  <c r="P301" i="5"/>
  <c r="C302" i="5"/>
  <c r="L302" i="5" s="1"/>
  <c r="D302" i="5"/>
  <c r="A302" i="5" s="1"/>
  <c r="Q302" i="5" s="1"/>
  <c r="P302" i="5"/>
  <c r="C303" i="5"/>
  <c r="L303" i="5" s="1"/>
  <c r="D303" i="5"/>
  <c r="A303" i="5" s="1"/>
  <c r="P303" i="5"/>
  <c r="C304" i="5"/>
  <c r="L304" i="5" s="1"/>
  <c r="D304" i="5"/>
  <c r="A304" i="5" s="1"/>
  <c r="O304" i="5" s="1"/>
  <c r="P304" i="5"/>
  <c r="C305" i="5"/>
  <c r="L305" i="5" s="1"/>
  <c r="D305" i="5"/>
  <c r="A305" i="5" s="1"/>
  <c r="O305" i="5" s="1"/>
  <c r="P305" i="5"/>
  <c r="C306" i="5"/>
  <c r="L306" i="5" s="1"/>
  <c r="D306" i="5"/>
  <c r="A306" i="5" s="1"/>
  <c r="R306" i="5" s="1"/>
  <c r="P306" i="5"/>
  <c r="C307" i="5"/>
  <c r="L307" i="5" s="1"/>
  <c r="D307" i="5"/>
  <c r="A307" i="5" s="1"/>
  <c r="P307" i="5"/>
  <c r="C308" i="5"/>
  <c r="L308" i="5" s="1"/>
  <c r="D308" i="5"/>
  <c r="A308" i="5" s="1"/>
  <c r="N308" i="5" s="1"/>
  <c r="P308" i="5"/>
  <c r="C309" i="5"/>
  <c r="L309" i="5" s="1"/>
  <c r="D309" i="5"/>
  <c r="A309" i="5" s="1"/>
  <c r="Q309" i="5" s="1"/>
  <c r="P309" i="5"/>
  <c r="C310" i="5"/>
  <c r="L310" i="5" s="1"/>
  <c r="D310" i="5"/>
  <c r="A310" i="5" s="1"/>
  <c r="N310" i="5" s="1"/>
  <c r="P310" i="5"/>
  <c r="C311" i="5"/>
  <c r="L311" i="5" s="1"/>
  <c r="D311" i="5"/>
  <c r="A311" i="5" s="1"/>
  <c r="M311" i="5" s="1"/>
  <c r="P311" i="5"/>
  <c r="C312" i="5"/>
  <c r="L312" i="5" s="1"/>
  <c r="D312" i="5"/>
  <c r="A312" i="5" s="1"/>
  <c r="P312" i="5"/>
  <c r="C313" i="5"/>
  <c r="L313" i="5" s="1"/>
  <c r="D313" i="5"/>
  <c r="A313" i="5" s="1"/>
  <c r="P313" i="5"/>
  <c r="C314" i="5"/>
  <c r="L314" i="5" s="1"/>
  <c r="D314" i="5"/>
  <c r="A314" i="5" s="1"/>
  <c r="R314" i="5" s="1"/>
  <c r="P314" i="5"/>
  <c r="C315" i="5"/>
  <c r="L315" i="5" s="1"/>
  <c r="D315" i="5"/>
  <c r="A315" i="5" s="1"/>
  <c r="P315" i="5"/>
  <c r="C316" i="5"/>
  <c r="L316" i="5" s="1"/>
  <c r="D316" i="5"/>
  <c r="A316" i="5" s="1"/>
  <c r="P316" i="5"/>
  <c r="C317" i="5"/>
  <c r="L317" i="5" s="1"/>
  <c r="D317" i="5"/>
  <c r="A317" i="5" s="1"/>
  <c r="M317" i="5" s="1"/>
  <c r="P317" i="5"/>
  <c r="C318" i="5"/>
  <c r="L318" i="5" s="1"/>
  <c r="D318" i="5"/>
  <c r="A318" i="5" s="1"/>
  <c r="Q318" i="5" s="1"/>
  <c r="P318" i="5"/>
  <c r="C319" i="5"/>
  <c r="L319" i="5" s="1"/>
  <c r="D319" i="5"/>
  <c r="A319" i="5" s="1"/>
  <c r="P319" i="5"/>
  <c r="C320" i="5"/>
  <c r="L320" i="5" s="1"/>
  <c r="D320" i="5"/>
  <c r="A320" i="5" s="1"/>
  <c r="M320" i="5" s="1"/>
  <c r="P320" i="5"/>
  <c r="C321" i="5"/>
  <c r="L321" i="5" s="1"/>
  <c r="D321" i="5"/>
  <c r="A321" i="5" s="1"/>
  <c r="P321" i="5"/>
  <c r="C322" i="5"/>
  <c r="L322" i="5" s="1"/>
  <c r="D322" i="5"/>
  <c r="A322" i="5" s="1"/>
  <c r="R322" i="5" s="1"/>
  <c r="P322" i="5"/>
  <c r="C323" i="5"/>
  <c r="L323" i="5" s="1"/>
  <c r="D323" i="5"/>
  <c r="A323" i="5" s="1"/>
  <c r="P323" i="5"/>
  <c r="C324" i="5"/>
  <c r="L324" i="5" s="1"/>
  <c r="D324" i="5"/>
  <c r="A324" i="5" s="1"/>
  <c r="P324" i="5"/>
  <c r="C325" i="5"/>
  <c r="L325" i="5" s="1"/>
  <c r="D325" i="5"/>
  <c r="A325" i="5" s="1"/>
  <c r="Q325" i="5" s="1"/>
  <c r="P325" i="5"/>
  <c r="C326" i="5"/>
  <c r="L326" i="5" s="1"/>
  <c r="D326" i="5"/>
  <c r="A326" i="5" s="1"/>
  <c r="P326" i="5"/>
  <c r="C327" i="5"/>
  <c r="L327" i="5" s="1"/>
  <c r="D327" i="5"/>
  <c r="A327" i="5" s="1"/>
  <c r="P327" i="5"/>
  <c r="C328" i="5"/>
  <c r="L328" i="5" s="1"/>
  <c r="D328" i="5"/>
  <c r="A328" i="5" s="1"/>
  <c r="P328" i="5"/>
  <c r="C329" i="5"/>
  <c r="L329" i="5" s="1"/>
  <c r="D329" i="5"/>
  <c r="A329" i="5" s="1"/>
  <c r="P329" i="5"/>
  <c r="C330" i="5"/>
  <c r="L330" i="5" s="1"/>
  <c r="D330" i="5"/>
  <c r="A330" i="5" s="1"/>
  <c r="R330" i="5" s="1"/>
  <c r="P330" i="5"/>
  <c r="C331" i="5"/>
  <c r="L331" i="5" s="1"/>
  <c r="D331" i="5"/>
  <c r="A331" i="5" s="1"/>
  <c r="P331" i="5"/>
  <c r="C332" i="5"/>
  <c r="L332" i="5" s="1"/>
  <c r="D332" i="5"/>
  <c r="A332" i="5" s="1"/>
  <c r="O332" i="5" s="1"/>
  <c r="P332" i="5"/>
  <c r="C333" i="5"/>
  <c r="L333" i="5" s="1"/>
  <c r="D333" i="5"/>
  <c r="A333" i="5" s="1"/>
  <c r="P333" i="5"/>
  <c r="C334" i="5"/>
  <c r="L334" i="5" s="1"/>
  <c r="D334" i="5"/>
  <c r="A334" i="5" s="1"/>
  <c r="P334" i="5"/>
  <c r="C335" i="5"/>
  <c r="L335" i="5" s="1"/>
  <c r="D335" i="5"/>
  <c r="A335" i="5" s="1"/>
  <c r="P335" i="5"/>
  <c r="C336" i="5"/>
  <c r="L336" i="5" s="1"/>
  <c r="D336" i="5"/>
  <c r="A336" i="5" s="1"/>
  <c r="P336" i="5"/>
  <c r="C337" i="5"/>
  <c r="L337" i="5" s="1"/>
  <c r="D337" i="5"/>
  <c r="A337" i="5" s="1"/>
  <c r="Q337" i="5" s="1"/>
  <c r="P337" i="5"/>
  <c r="O288" i="5" l="1"/>
  <c r="R258" i="5"/>
  <c r="Q285" i="5"/>
  <c r="O284" i="5"/>
  <c r="Q284" i="5"/>
  <c r="R284" i="5"/>
  <c r="R271" i="5"/>
  <c r="Q271" i="5"/>
  <c r="Q287" i="5"/>
  <c r="O292" i="5"/>
  <c r="O287" i="5"/>
  <c r="S317" i="5"/>
  <c r="Q310" i="5"/>
  <c r="N292" i="5"/>
  <c r="N287" i="5"/>
  <c r="R304" i="5"/>
  <c r="M287" i="5"/>
  <c r="O316" i="5"/>
  <c r="S316" i="5"/>
  <c r="R283" i="5"/>
  <c r="Q283" i="5"/>
  <c r="M336" i="5"/>
  <c r="O336" i="5"/>
  <c r="S324" i="5"/>
  <c r="O324" i="5"/>
  <c r="Q324" i="5"/>
  <c r="M324" i="5"/>
  <c r="R324" i="5"/>
  <c r="O307" i="5"/>
  <c r="N307" i="5"/>
  <c r="Q307" i="5"/>
  <c r="Q303" i="5"/>
  <c r="R303" i="5"/>
  <c r="S303" i="5"/>
  <c r="M264" i="5"/>
  <c r="R264" i="5"/>
  <c r="S264" i="5"/>
  <c r="O264" i="5"/>
  <c r="Q264" i="5"/>
  <c r="Q321" i="5"/>
  <c r="M321" i="5"/>
  <c r="R261" i="5"/>
  <c r="S261" i="5"/>
  <c r="Q261" i="5"/>
  <c r="O323" i="5"/>
  <c r="Q323" i="5"/>
  <c r="R268" i="5"/>
  <c r="O268" i="5"/>
  <c r="Q268" i="5"/>
  <c r="O267" i="5"/>
  <c r="R267" i="5"/>
  <c r="Q267" i="5"/>
  <c r="S280" i="5"/>
  <c r="Q281" i="5"/>
  <c r="O281" i="5"/>
  <c r="R280" i="5"/>
  <c r="N295" i="5"/>
  <c r="N281" i="5"/>
  <c r="Q280" i="5"/>
  <c r="N271" i="5"/>
  <c r="Q254" i="5"/>
  <c r="O271" i="5"/>
  <c r="M337" i="5"/>
  <c r="S333" i="5"/>
  <c r="R325" i="5"/>
  <c r="R309" i="5"/>
  <c r="M281" i="5"/>
  <c r="M271" i="5"/>
  <c r="Q308" i="5"/>
  <c r="O320" i="5"/>
  <c r="O280" i="5"/>
  <c r="O254" i="5"/>
  <c r="O296" i="5"/>
  <c r="S296" i="5"/>
  <c r="Q296" i="5"/>
  <c r="R296" i="5"/>
  <c r="R289" i="5"/>
  <c r="M289" i="5"/>
  <c r="N289" i="5"/>
  <c r="O289" i="5"/>
  <c r="Q289" i="5"/>
  <c r="M312" i="5"/>
  <c r="Q312" i="5"/>
  <c r="R312" i="5"/>
  <c r="S312" i="5"/>
  <c r="O312" i="5"/>
  <c r="N329" i="5"/>
  <c r="O329" i="5"/>
  <c r="Q329" i="5"/>
  <c r="R329" i="5"/>
  <c r="S329" i="5"/>
  <c r="M329" i="5"/>
  <c r="N294" i="5"/>
  <c r="Q294" i="5"/>
  <c r="O319" i="5"/>
  <c r="M319" i="5"/>
  <c r="N319" i="5"/>
  <c r="Q319" i="5"/>
  <c r="R319" i="5"/>
  <c r="S319" i="5"/>
  <c r="R273" i="5"/>
  <c r="M273" i="5"/>
  <c r="N273" i="5"/>
  <c r="O273" i="5"/>
  <c r="Q273" i="5"/>
  <c r="M328" i="5"/>
  <c r="Q328" i="5"/>
  <c r="R328" i="5"/>
  <c r="S328" i="5"/>
  <c r="O328" i="5"/>
  <c r="R313" i="5"/>
  <c r="M313" i="5"/>
  <c r="N313" i="5"/>
  <c r="Q313" i="5"/>
  <c r="S313" i="5"/>
  <c r="O313" i="5"/>
  <c r="N300" i="5"/>
  <c r="O300" i="5"/>
  <c r="Q300" i="5"/>
  <c r="R300" i="5"/>
  <c r="S300" i="5"/>
  <c r="M300" i="5"/>
  <c r="O335" i="5"/>
  <c r="M335" i="5"/>
  <c r="N335" i="5"/>
  <c r="Q335" i="5"/>
  <c r="R335" i="5"/>
  <c r="S335" i="5"/>
  <c r="O331" i="5"/>
  <c r="Q331" i="5"/>
  <c r="M327" i="5"/>
  <c r="N334" i="5"/>
  <c r="M334" i="5"/>
  <c r="S332" i="5"/>
  <c r="O315" i="5"/>
  <c r="Q315" i="5"/>
  <c r="R308" i="5"/>
  <c r="R305" i="5"/>
  <c r="Q305" i="5"/>
  <c r="M303" i="5"/>
  <c r="N303" i="5"/>
  <c r="Q301" i="5"/>
  <c r="Q293" i="5"/>
  <c r="R293" i="5"/>
  <c r="S293" i="5"/>
  <c r="S263" i="5"/>
  <c r="M263" i="5"/>
  <c r="N263" i="5"/>
  <c r="O263" i="5"/>
  <c r="M277" i="5"/>
  <c r="Q277" i="5"/>
  <c r="R277" i="5"/>
  <c r="Q326" i="5"/>
  <c r="R317" i="5"/>
  <c r="Q316" i="5"/>
  <c r="O308" i="5"/>
  <c r="Q304" i="5"/>
  <c r="O291" i="5"/>
  <c r="Q291" i="5"/>
  <c r="S279" i="5"/>
  <c r="S276" i="5"/>
  <c r="M269" i="5"/>
  <c r="Q269" i="5"/>
  <c r="R269" i="5"/>
  <c r="S269" i="5"/>
  <c r="R263" i="5"/>
  <c r="R257" i="5"/>
  <c r="M257" i="5"/>
  <c r="N257" i="5"/>
  <c r="O257" i="5"/>
  <c r="R333" i="5"/>
  <c r="Q332" i="5"/>
  <c r="R316" i="5"/>
  <c r="O299" i="5"/>
  <c r="N299" i="5"/>
  <c r="Q299" i="5"/>
  <c r="Q333" i="5"/>
  <c r="S336" i="5"/>
  <c r="Q334" i="5"/>
  <c r="Q317" i="5"/>
  <c r="N315" i="5"/>
  <c r="R279" i="5"/>
  <c r="O275" i="5"/>
  <c r="Q275" i="5"/>
  <c r="R275" i="5"/>
  <c r="R332" i="5"/>
  <c r="S259" i="5"/>
  <c r="O259" i="5"/>
  <c r="Q259" i="5"/>
  <c r="R259" i="5"/>
  <c r="M288" i="5"/>
  <c r="Q288" i="5"/>
  <c r="R288" i="5"/>
  <c r="S288" i="5"/>
  <c r="N255" i="5"/>
  <c r="O255" i="5"/>
  <c r="Q255" i="5"/>
  <c r="R255" i="5"/>
  <c r="S255" i="5"/>
  <c r="R337" i="5"/>
  <c r="S337" i="5"/>
  <c r="R321" i="5"/>
  <c r="S321" i="5"/>
  <c r="M326" i="5"/>
  <c r="M325" i="5"/>
  <c r="S325" i="5"/>
  <c r="S320" i="5"/>
  <c r="N316" i="5"/>
  <c r="N305" i="5"/>
  <c r="O303" i="5"/>
  <c r="N302" i="5"/>
  <c r="M302" i="5"/>
  <c r="Q286" i="5"/>
  <c r="O283" i="5"/>
  <c r="N283" i="5"/>
  <c r="N278" i="5"/>
  <c r="M278" i="5"/>
  <c r="Q278" i="5"/>
  <c r="S260" i="5"/>
  <c r="M260" i="5"/>
  <c r="N260" i="5"/>
  <c r="O260" i="5"/>
  <c r="Q260" i="5"/>
  <c r="M256" i="5"/>
  <c r="O256" i="5"/>
  <c r="Q256" i="5"/>
  <c r="R256" i="5"/>
  <c r="S256" i="5"/>
  <c r="N318" i="5"/>
  <c r="M318" i="5"/>
  <c r="M279" i="5"/>
  <c r="N279" i="5"/>
  <c r="O279" i="5"/>
  <c r="M272" i="5"/>
  <c r="O272" i="5"/>
  <c r="Q272" i="5"/>
  <c r="R272" i="5"/>
  <c r="S272" i="5"/>
  <c r="R265" i="5"/>
  <c r="O265" i="5"/>
  <c r="Q265" i="5"/>
  <c r="Q311" i="5"/>
  <c r="R311" i="5"/>
  <c r="S311" i="5"/>
  <c r="Q327" i="5"/>
  <c r="O295" i="5"/>
  <c r="Q295" i="5"/>
  <c r="O337" i="5"/>
  <c r="R336" i="5"/>
  <c r="M332" i="5"/>
  <c r="N337" i="5"/>
  <c r="Q336" i="5"/>
  <c r="O321" i="5"/>
  <c r="R320" i="5"/>
  <c r="M316" i="5"/>
  <c r="O311" i="5"/>
  <c r="M310" i="5"/>
  <c r="M309" i="5"/>
  <c r="S309" i="5"/>
  <c r="M305" i="5"/>
  <c r="S301" i="5"/>
  <c r="S295" i="5"/>
  <c r="Q292" i="5"/>
  <c r="R292" i="5"/>
  <c r="S292" i="5"/>
  <c r="S277" i="5"/>
  <c r="N265" i="5"/>
  <c r="O327" i="5"/>
  <c r="R327" i="5"/>
  <c r="S327" i="5"/>
  <c r="N321" i="5"/>
  <c r="Q320" i="5"/>
  <c r="N311" i="5"/>
  <c r="S308" i="5"/>
  <c r="M308" i="5"/>
  <c r="M304" i="5"/>
  <c r="S304" i="5"/>
  <c r="R301" i="5"/>
  <c r="R295" i="5"/>
  <c r="M286" i="5"/>
  <c r="M285" i="5"/>
  <c r="S285" i="5"/>
  <c r="S284" i="5"/>
  <c r="M284" i="5"/>
  <c r="N284" i="5"/>
  <c r="N276" i="5"/>
  <c r="O276" i="5"/>
  <c r="Q276" i="5"/>
  <c r="R276" i="5"/>
  <c r="N270" i="5"/>
  <c r="Q270" i="5"/>
  <c r="M265" i="5"/>
  <c r="N268" i="5"/>
  <c r="S287" i="5"/>
  <c r="S271" i="5"/>
  <c r="M268" i="5"/>
  <c r="N267" i="5"/>
  <c r="N254" i="5"/>
  <c r="Q262" i="5"/>
  <c r="M262" i="5"/>
  <c r="M254" i="5"/>
  <c r="S268" i="5"/>
  <c r="S254" i="5"/>
  <c r="Q298" i="5"/>
  <c r="Q282" i="5"/>
  <c r="Q258" i="5"/>
  <c r="N336" i="5"/>
  <c r="O333" i="5"/>
  <c r="M331" i="5"/>
  <c r="N328" i="5"/>
  <c r="O325" i="5"/>
  <c r="M323" i="5"/>
  <c r="N320" i="5"/>
  <c r="O317" i="5"/>
  <c r="M315" i="5"/>
  <c r="N312" i="5"/>
  <c r="O309" i="5"/>
  <c r="M307" i="5"/>
  <c r="S305" i="5"/>
  <c r="N304" i="5"/>
  <c r="O301" i="5"/>
  <c r="M299" i="5"/>
  <c r="N296" i="5"/>
  <c r="O293" i="5"/>
  <c r="M291" i="5"/>
  <c r="S289" i="5"/>
  <c r="N288" i="5"/>
  <c r="O285" i="5"/>
  <c r="M283" i="5"/>
  <c r="S281" i="5"/>
  <c r="N280" i="5"/>
  <c r="O277" i="5"/>
  <c r="M275" i="5"/>
  <c r="S273" i="5"/>
  <c r="N272" i="5"/>
  <c r="O269" i="5"/>
  <c r="M267" i="5"/>
  <c r="S265" i="5"/>
  <c r="N264" i="5"/>
  <c r="O261" i="5"/>
  <c r="S257" i="5"/>
  <c r="N256" i="5"/>
  <c r="S334" i="5"/>
  <c r="O330" i="5"/>
  <c r="S326" i="5"/>
  <c r="N325" i="5"/>
  <c r="O322" i="5"/>
  <c r="S318" i="5"/>
  <c r="N317" i="5"/>
  <c r="O314" i="5"/>
  <c r="S310" i="5"/>
  <c r="N309" i="5"/>
  <c r="O306" i="5"/>
  <c r="S302" i="5"/>
  <c r="N301" i="5"/>
  <c r="O298" i="5"/>
  <c r="S294" i="5"/>
  <c r="N293" i="5"/>
  <c r="O290" i="5"/>
  <c r="S286" i="5"/>
  <c r="N285" i="5"/>
  <c r="O282" i="5"/>
  <c r="S278" i="5"/>
  <c r="N277" i="5"/>
  <c r="O274" i="5"/>
  <c r="S270" i="5"/>
  <c r="N269" i="5"/>
  <c r="O266" i="5"/>
  <c r="S262" i="5"/>
  <c r="N261" i="5"/>
  <c r="O258" i="5"/>
  <c r="Q274" i="5"/>
  <c r="Q266" i="5"/>
  <c r="R334" i="5"/>
  <c r="S331" i="5"/>
  <c r="N330" i="5"/>
  <c r="R326" i="5"/>
  <c r="S323" i="5"/>
  <c r="N322" i="5"/>
  <c r="R318" i="5"/>
  <c r="S315" i="5"/>
  <c r="N314" i="5"/>
  <c r="R310" i="5"/>
  <c r="S307" i="5"/>
  <c r="N306" i="5"/>
  <c r="R302" i="5"/>
  <c r="S299" i="5"/>
  <c r="N298" i="5"/>
  <c r="R294" i="5"/>
  <c r="S291" i="5"/>
  <c r="N290" i="5"/>
  <c r="R286" i="5"/>
  <c r="S283" i="5"/>
  <c r="N282" i="5"/>
  <c r="R278" i="5"/>
  <c r="S275" i="5"/>
  <c r="N274" i="5"/>
  <c r="R270" i="5"/>
  <c r="S267" i="5"/>
  <c r="N266" i="5"/>
  <c r="R262" i="5"/>
  <c r="M261" i="5"/>
  <c r="R331" i="5"/>
  <c r="M330" i="5"/>
  <c r="R323" i="5"/>
  <c r="M322" i="5"/>
  <c r="R315" i="5"/>
  <c r="M314" i="5"/>
  <c r="R307" i="5"/>
  <c r="M306" i="5"/>
  <c r="R299" i="5"/>
  <c r="M298" i="5"/>
  <c r="R291" i="5"/>
  <c r="M290" i="5"/>
  <c r="M282" i="5"/>
  <c r="M274" i="5"/>
  <c r="M266" i="5"/>
  <c r="Q306" i="5"/>
  <c r="Q290" i="5"/>
  <c r="Q322" i="5"/>
  <c r="Q314" i="5"/>
  <c r="O334" i="5"/>
  <c r="S330" i="5"/>
  <c r="O326" i="5"/>
  <c r="S322" i="5"/>
  <c r="O318" i="5"/>
  <c r="S314" i="5"/>
  <c r="O310" i="5"/>
  <c r="S306" i="5"/>
  <c r="O302" i="5"/>
  <c r="S298" i="5"/>
  <c r="O294" i="5"/>
  <c r="S290" i="5"/>
  <c r="O286" i="5"/>
  <c r="S282" i="5"/>
  <c r="O278" i="5"/>
  <c r="S274" i="5"/>
  <c r="O270" i="5"/>
  <c r="S266" i="5"/>
  <c r="O262" i="5"/>
  <c r="S258" i="5"/>
  <c r="Q330" i="5"/>
  <c r="D230" i="5"/>
  <c r="D231" i="5"/>
  <c r="C236" i="5"/>
  <c r="L236" i="5" s="1"/>
  <c r="D236" i="5"/>
  <c r="A236" i="5" s="1"/>
  <c r="P236" i="5"/>
  <c r="C237" i="5"/>
  <c r="L237" i="5" s="1"/>
  <c r="D237" i="5"/>
  <c r="A237" i="5" s="1"/>
  <c r="P237" i="5"/>
  <c r="C238" i="5"/>
  <c r="L238" i="5" s="1"/>
  <c r="D238" i="5"/>
  <c r="A238" i="5" s="1"/>
  <c r="P238" i="5"/>
  <c r="C241" i="5"/>
  <c r="L241" i="5" s="1"/>
  <c r="D241" i="5"/>
  <c r="A241" i="5" s="1"/>
  <c r="R241" i="5" s="1"/>
  <c r="P241" i="5"/>
  <c r="C242" i="5"/>
  <c r="L242" i="5" s="1"/>
  <c r="D242" i="5"/>
  <c r="A242" i="5" s="1"/>
  <c r="P242" i="5"/>
  <c r="C243" i="5"/>
  <c r="L243" i="5" s="1"/>
  <c r="D243" i="5"/>
  <c r="A243" i="5" s="1"/>
  <c r="M243" i="5" s="1"/>
  <c r="P243" i="5"/>
  <c r="C244" i="5"/>
  <c r="L244" i="5" s="1"/>
  <c r="D244" i="5"/>
  <c r="A244" i="5" s="1"/>
  <c r="P244" i="5"/>
  <c r="C245" i="5"/>
  <c r="L245" i="5" s="1"/>
  <c r="D245" i="5"/>
  <c r="A245" i="5" s="1"/>
  <c r="P245" i="5"/>
  <c r="C246" i="5"/>
  <c r="L246" i="5" s="1"/>
  <c r="D246" i="5"/>
  <c r="A246" i="5" s="1"/>
  <c r="P246" i="5"/>
  <c r="C247" i="5"/>
  <c r="L247" i="5" s="1"/>
  <c r="D247" i="5"/>
  <c r="A247" i="5" s="1"/>
  <c r="S247" i="5" s="1"/>
  <c r="P247" i="5"/>
  <c r="C249" i="5"/>
  <c r="L249" i="5" s="1"/>
  <c r="D249" i="5"/>
  <c r="A249" i="5" s="1"/>
  <c r="R249" i="5" s="1"/>
  <c r="P249" i="5"/>
  <c r="C250" i="5"/>
  <c r="L250" i="5" s="1"/>
  <c r="D250" i="5"/>
  <c r="A250" i="5" s="1"/>
  <c r="P250" i="5"/>
  <c r="C251" i="5"/>
  <c r="L251" i="5" s="1"/>
  <c r="D251" i="5"/>
  <c r="A251" i="5" s="1"/>
  <c r="M251" i="5" s="1"/>
  <c r="P251" i="5"/>
  <c r="C252" i="5"/>
  <c r="L252" i="5" s="1"/>
  <c r="D252" i="5"/>
  <c r="A252" i="5" s="1"/>
  <c r="P252" i="5"/>
  <c r="M244" i="5" l="1"/>
  <c r="S244" i="5"/>
  <c r="R247" i="5"/>
  <c r="Q247" i="5"/>
  <c r="R251" i="5"/>
  <c r="M236" i="5"/>
  <c r="R236" i="5"/>
  <c r="Q236" i="5"/>
  <c r="Q237" i="5"/>
  <c r="R237" i="5"/>
  <c r="S237" i="5"/>
  <c r="N237" i="5"/>
  <c r="M237" i="5"/>
  <c r="O237" i="5"/>
  <c r="S246" i="5"/>
  <c r="R246" i="5"/>
  <c r="S242" i="5"/>
  <c r="R242" i="5"/>
  <c r="M242" i="5"/>
  <c r="N242" i="5"/>
  <c r="O242" i="5"/>
  <c r="Q242" i="5"/>
  <c r="O250" i="5"/>
  <c r="Q250" i="5"/>
  <c r="R250" i="5"/>
  <c r="M250" i="5"/>
  <c r="N250" i="5"/>
  <c r="N245" i="5"/>
  <c r="S245" i="5"/>
  <c r="M245" i="5"/>
  <c r="Q245" i="5"/>
  <c r="S238" i="5"/>
  <c r="R238" i="5"/>
  <c r="M252" i="5"/>
  <c r="Q252" i="5"/>
  <c r="S252" i="5"/>
  <c r="R252" i="5"/>
  <c r="N252" i="5"/>
  <c r="O252" i="5"/>
  <c r="R244" i="5"/>
  <c r="Q244" i="5"/>
  <c r="O247" i="5"/>
  <c r="R243" i="5"/>
  <c r="O236" i="5"/>
  <c r="S243" i="5"/>
  <c r="O244" i="5"/>
  <c r="N236" i="5"/>
  <c r="N244" i="5"/>
  <c r="S251" i="5"/>
  <c r="S236" i="5"/>
  <c r="Q249" i="5"/>
  <c r="S250" i="5"/>
  <c r="N249" i="5"/>
  <c r="O246" i="5"/>
  <c r="R245" i="5"/>
  <c r="N241" i="5"/>
  <c r="O238" i="5"/>
  <c r="Q238" i="5"/>
  <c r="Q251" i="5"/>
  <c r="O249" i="5"/>
  <c r="O251" i="5"/>
  <c r="M249" i="5"/>
  <c r="N246" i="5"/>
  <c r="O243" i="5"/>
  <c r="M241" i="5"/>
  <c r="N238" i="5"/>
  <c r="Q243" i="5"/>
  <c r="N251" i="5"/>
  <c r="M246" i="5"/>
  <c r="N243" i="5"/>
  <c r="M238" i="5"/>
  <c r="Q241" i="5"/>
  <c r="Q246" i="5"/>
  <c r="S249" i="5"/>
  <c r="O245" i="5"/>
  <c r="S241" i="5"/>
  <c r="O241" i="5"/>
  <c r="P228" i="5"/>
  <c r="P229" i="5"/>
  <c r="P231" i="5"/>
  <c r="P232" i="5"/>
  <c r="P233" i="5"/>
  <c r="P234" i="5"/>
  <c r="C228" i="5"/>
  <c r="L228" i="5" s="1"/>
  <c r="D228" i="5"/>
  <c r="A228" i="5" s="1"/>
  <c r="O228" i="5" s="1"/>
  <c r="C229" i="5"/>
  <c r="L229" i="5" s="1"/>
  <c r="D229" i="5"/>
  <c r="A229" i="5" s="1"/>
  <c r="M229" i="5" s="1"/>
  <c r="C231" i="5"/>
  <c r="L231" i="5" s="1"/>
  <c r="A231" i="5"/>
  <c r="N231" i="5" s="1"/>
  <c r="C232" i="5"/>
  <c r="L232" i="5" s="1"/>
  <c r="D232" i="5"/>
  <c r="A232" i="5" s="1"/>
  <c r="N232" i="5" s="1"/>
  <c r="C233" i="5"/>
  <c r="L233" i="5" s="1"/>
  <c r="D233" i="5"/>
  <c r="A233" i="5" s="1"/>
  <c r="C234" i="5"/>
  <c r="L234" i="5" s="1"/>
  <c r="D234" i="5"/>
  <c r="A234" i="5" s="1"/>
  <c r="N234" i="5" l="1"/>
  <c r="S234" i="5"/>
  <c r="N233" i="5"/>
  <c r="S233" i="5"/>
  <c r="R229" i="5"/>
  <c r="Q229" i="5"/>
  <c r="R228" i="5"/>
  <c r="Q228" i="5"/>
  <c r="S232" i="5"/>
  <c r="M234" i="5"/>
  <c r="R234" i="5"/>
  <c r="S231" i="5"/>
  <c r="M233" i="5"/>
  <c r="Q234" i="5"/>
  <c r="M232" i="5"/>
  <c r="O234" i="5"/>
  <c r="O231" i="5"/>
  <c r="R233" i="5"/>
  <c r="M231" i="5"/>
  <c r="Q233" i="5"/>
  <c r="R232" i="5"/>
  <c r="O233" i="5"/>
  <c r="Q232" i="5"/>
  <c r="O232" i="5"/>
  <c r="R231" i="5"/>
  <c r="Q231" i="5"/>
  <c r="N229" i="5"/>
  <c r="N228" i="5"/>
  <c r="S229" i="5"/>
  <c r="O229" i="5"/>
  <c r="S228" i="5"/>
  <c r="M228" i="5"/>
  <c r="A52" i="24"/>
  <c r="M50" i="24"/>
  <c r="J50" i="24"/>
  <c r="I50" i="24"/>
  <c r="H50" i="24"/>
  <c r="G50" i="24"/>
  <c r="F50" i="24"/>
  <c r="M49" i="24"/>
  <c r="J49" i="24"/>
  <c r="I49" i="24"/>
  <c r="H49" i="24"/>
  <c r="G49" i="24"/>
  <c r="F49" i="24"/>
  <c r="M48" i="24"/>
  <c r="J48" i="24"/>
  <c r="I48" i="24"/>
  <c r="H48" i="24"/>
  <c r="G48" i="24"/>
  <c r="F48" i="24"/>
  <c r="M47" i="24"/>
  <c r="J47" i="24"/>
  <c r="I47" i="24"/>
  <c r="H47" i="24"/>
  <c r="G47" i="24"/>
  <c r="F47" i="24"/>
  <c r="M46" i="24"/>
  <c r="J46" i="24"/>
  <c r="I46" i="24"/>
  <c r="H46" i="24"/>
  <c r="G46" i="24"/>
  <c r="F46" i="24"/>
  <c r="M45" i="24"/>
  <c r="J45" i="24"/>
  <c r="I45" i="24"/>
  <c r="H45" i="24"/>
  <c r="G45" i="24"/>
  <c r="F45" i="24"/>
  <c r="M44" i="24"/>
  <c r="J44" i="24"/>
  <c r="I44" i="24"/>
  <c r="H44" i="24"/>
  <c r="G44" i="24"/>
  <c r="F44" i="24"/>
  <c r="M43" i="24"/>
  <c r="J43" i="24"/>
  <c r="I43" i="24"/>
  <c r="H43" i="24"/>
  <c r="G43" i="24"/>
  <c r="F43" i="24"/>
  <c r="L41" i="24"/>
  <c r="M40" i="24"/>
  <c r="K40" i="24"/>
  <c r="I40" i="24"/>
  <c r="G40" i="24"/>
  <c r="A39" i="24"/>
  <c r="G36" i="24"/>
  <c r="F36" i="24"/>
  <c r="E36" i="24"/>
  <c r="D36" i="24"/>
  <c r="I35" i="24"/>
  <c r="G35" i="24"/>
  <c r="F35" i="24"/>
  <c r="E35" i="24"/>
  <c r="D35" i="24"/>
  <c r="M32" i="24"/>
  <c r="L32" i="24"/>
  <c r="K32" i="24"/>
  <c r="J32" i="24"/>
  <c r="I32" i="24"/>
  <c r="H32" i="24"/>
  <c r="G32" i="24"/>
  <c r="F32" i="24"/>
  <c r="E32" i="24"/>
  <c r="D32" i="24"/>
  <c r="K31" i="24"/>
  <c r="J31" i="24"/>
  <c r="I31" i="24"/>
  <c r="H31" i="24"/>
  <c r="G31" i="24"/>
  <c r="F31" i="24"/>
  <c r="E31" i="24"/>
  <c r="D31" i="24"/>
  <c r="K28" i="24"/>
  <c r="J28" i="24"/>
  <c r="I28" i="24"/>
  <c r="H28" i="24"/>
  <c r="G28" i="24"/>
  <c r="F28" i="24"/>
  <c r="E28" i="24"/>
  <c r="D28" i="24"/>
  <c r="H25" i="24"/>
  <c r="G25" i="24"/>
  <c r="F25" i="24"/>
  <c r="E25" i="24"/>
  <c r="D25" i="24"/>
  <c r="I22" i="24"/>
  <c r="H22" i="24"/>
  <c r="G22" i="24"/>
  <c r="F22" i="24"/>
  <c r="E22" i="24"/>
  <c r="D22" i="24"/>
  <c r="I21" i="24"/>
  <c r="H21" i="24"/>
  <c r="G21" i="24"/>
  <c r="F21" i="24"/>
  <c r="E21" i="24"/>
  <c r="D21" i="24"/>
  <c r="H20" i="24"/>
  <c r="G20" i="24"/>
  <c r="F20" i="24"/>
  <c r="E20" i="24"/>
  <c r="F19" i="24"/>
  <c r="E19" i="24"/>
  <c r="D19" i="24"/>
  <c r="F18" i="24"/>
  <c r="E18" i="24"/>
  <c r="D18" i="24"/>
  <c r="G17" i="24"/>
  <c r="F17" i="24"/>
  <c r="E17" i="24"/>
  <c r="D17" i="24"/>
  <c r="Q16" i="24"/>
  <c r="Q15" i="24"/>
  <c r="M15" i="24"/>
  <c r="L15" i="24"/>
  <c r="K15" i="24"/>
  <c r="J15" i="24"/>
  <c r="I15" i="24"/>
  <c r="H15" i="24"/>
  <c r="G15" i="24"/>
  <c r="F15" i="24"/>
  <c r="E15" i="24"/>
  <c r="D15" i="24"/>
  <c r="Q14" i="24"/>
  <c r="M14" i="24"/>
  <c r="L14" i="24"/>
  <c r="K14" i="24"/>
  <c r="J14" i="24"/>
  <c r="I14" i="24"/>
  <c r="H14" i="24"/>
  <c r="G14" i="24"/>
  <c r="F14" i="24"/>
  <c r="E14" i="24"/>
  <c r="D14" i="24"/>
  <c r="Q13" i="24"/>
  <c r="M13" i="24"/>
  <c r="L13" i="24"/>
  <c r="K13" i="24"/>
  <c r="J13" i="24"/>
  <c r="I13" i="24"/>
  <c r="H13" i="24"/>
  <c r="G13" i="24"/>
  <c r="F13" i="24"/>
  <c r="E13" i="24"/>
  <c r="D13" i="24"/>
  <c r="Q12" i="24"/>
  <c r="Q11" i="24"/>
  <c r="Q10" i="24"/>
  <c r="Q9" i="24"/>
  <c r="Q8" i="24"/>
  <c r="L6" i="24" s="1"/>
  <c r="L8" i="24"/>
  <c r="I8" i="24"/>
  <c r="E8" i="24"/>
  <c r="C8" i="24" s="1"/>
  <c r="G4" i="24"/>
  <c r="B4" i="24"/>
  <c r="D1" i="24"/>
  <c r="K52" i="24" s="1"/>
  <c r="C1" i="24"/>
  <c r="C5" i="24" s="1"/>
  <c r="F40" i="24" l="1"/>
  <c r="H40" i="24"/>
  <c r="L7" i="24"/>
  <c r="Q18" i="24"/>
  <c r="Q17" i="24"/>
  <c r="I7" i="24"/>
  <c r="I5" i="24"/>
  <c r="C7" i="24"/>
  <c r="J41" i="24"/>
  <c r="E52" i="24"/>
  <c r="J40" i="24"/>
  <c r="F41" i="24"/>
  <c r="H41" i="24"/>
  <c r="H52" i="24"/>
  <c r="BO11" i="20"/>
  <c r="BP11" i="20"/>
  <c r="BQ11" i="20"/>
  <c r="BR11" i="20"/>
  <c r="BS11" i="20"/>
  <c r="BT11" i="20"/>
  <c r="BU11" i="20"/>
  <c r="BV11" i="20"/>
  <c r="BW11" i="20"/>
  <c r="BO12" i="20"/>
  <c r="BP12" i="20"/>
  <c r="BQ12" i="20"/>
  <c r="BR12" i="20"/>
  <c r="BS12" i="20"/>
  <c r="BT12" i="20"/>
  <c r="BU12" i="20"/>
  <c r="BV12" i="20"/>
  <c r="BW12" i="20"/>
  <c r="BO13" i="20"/>
  <c r="BP13" i="20"/>
  <c r="BQ13" i="20"/>
  <c r="BR13" i="20"/>
  <c r="BS13" i="20"/>
  <c r="BT13" i="20"/>
  <c r="BU13" i="20"/>
  <c r="BV13" i="20"/>
  <c r="BW13" i="20"/>
  <c r="BO14" i="20"/>
  <c r="BP14" i="20"/>
  <c r="BQ14" i="20"/>
  <c r="BR14" i="20"/>
  <c r="BS14" i="20"/>
  <c r="BT14" i="20"/>
  <c r="BU14" i="20"/>
  <c r="BV14" i="20"/>
  <c r="BW14" i="20"/>
  <c r="BO15" i="20"/>
  <c r="BP15" i="20"/>
  <c r="BQ15" i="20"/>
  <c r="BR15" i="20"/>
  <c r="BS15" i="20"/>
  <c r="BT15" i="20"/>
  <c r="BU15" i="20"/>
  <c r="BV15" i="20"/>
  <c r="BW15" i="20"/>
  <c r="BO16" i="20"/>
  <c r="BP16" i="20"/>
  <c r="BQ16" i="20"/>
  <c r="BR16" i="20"/>
  <c r="BS16" i="20"/>
  <c r="BT16" i="20"/>
  <c r="BU16" i="20"/>
  <c r="BV16" i="20"/>
  <c r="BW16" i="20"/>
  <c r="BO17" i="20"/>
  <c r="BP17" i="20"/>
  <c r="BQ17" i="20"/>
  <c r="BR17" i="20"/>
  <c r="BS17" i="20"/>
  <c r="BT17" i="20"/>
  <c r="BU17" i="20"/>
  <c r="BV17" i="20"/>
  <c r="BW17" i="20"/>
  <c r="BO18" i="20"/>
  <c r="BP18" i="20"/>
  <c r="BQ18" i="20"/>
  <c r="BR18" i="20"/>
  <c r="BS18" i="20"/>
  <c r="BT18" i="20"/>
  <c r="BU18" i="20"/>
  <c r="BV18" i="20"/>
  <c r="BW18" i="20"/>
  <c r="BO19" i="20"/>
  <c r="BP19" i="20"/>
  <c r="BQ19" i="20"/>
  <c r="BR19" i="20"/>
  <c r="BS19" i="20"/>
  <c r="BT19" i="20"/>
  <c r="BU19" i="20"/>
  <c r="BV19" i="20"/>
  <c r="BW19" i="20"/>
  <c r="BO20" i="20"/>
  <c r="BP20" i="20"/>
  <c r="BQ20" i="20"/>
  <c r="BR20" i="20"/>
  <c r="BS20" i="20"/>
  <c r="BT20" i="20"/>
  <c r="BU20" i="20"/>
  <c r="BV20" i="20"/>
  <c r="BW20" i="20"/>
  <c r="BO21" i="20"/>
  <c r="BP21" i="20"/>
  <c r="BQ21" i="20"/>
  <c r="BR21" i="20"/>
  <c r="BS21" i="20"/>
  <c r="BT21" i="20"/>
  <c r="BU21" i="20"/>
  <c r="BV21" i="20"/>
  <c r="BW21" i="20"/>
  <c r="BO22" i="20"/>
  <c r="BP22" i="20"/>
  <c r="BQ22" i="20"/>
  <c r="BR22" i="20"/>
  <c r="BS22" i="20"/>
  <c r="BT22" i="20"/>
  <c r="BU22" i="20"/>
  <c r="BV22" i="20"/>
  <c r="BW22" i="20"/>
  <c r="BO23" i="20"/>
  <c r="BP23" i="20"/>
  <c r="BQ23" i="20"/>
  <c r="BR23" i="20"/>
  <c r="BS23" i="20"/>
  <c r="BT23" i="20"/>
  <c r="BU23" i="20"/>
  <c r="BV23" i="20"/>
  <c r="BW23" i="20"/>
  <c r="BO24" i="20"/>
  <c r="BP24" i="20"/>
  <c r="BQ24" i="20"/>
  <c r="BR24" i="20"/>
  <c r="BS24" i="20"/>
  <c r="BT24" i="20"/>
  <c r="BU24" i="20"/>
  <c r="BV24" i="20"/>
  <c r="BW24" i="20"/>
  <c r="BO25" i="20"/>
  <c r="BP25" i="20"/>
  <c r="BQ25" i="20"/>
  <c r="BR25" i="20"/>
  <c r="BS25" i="20"/>
  <c r="BT25" i="20"/>
  <c r="BU25" i="20"/>
  <c r="BV25" i="20"/>
  <c r="BW25" i="20"/>
  <c r="BO26" i="20"/>
  <c r="BP26" i="20"/>
  <c r="BQ26" i="20"/>
  <c r="BR26" i="20"/>
  <c r="BS26" i="20"/>
  <c r="BT26" i="20"/>
  <c r="BU26" i="20"/>
  <c r="BV26" i="20"/>
  <c r="BW26" i="20"/>
  <c r="BO27" i="20"/>
  <c r="BP27" i="20"/>
  <c r="BQ27" i="20"/>
  <c r="BR27" i="20"/>
  <c r="BS27" i="20"/>
  <c r="BT27" i="20"/>
  <c r="BU27" i="20"/>
  <c r="BV27" i="20"/>
  <c r="BW27" i="20"/>
  <c r="BO28" i="20"/>
  <c r="BP28" i="20"/>
  <c r="BQ28" i="20"/>
  <c r="BR28" i="20"/>
  <c r="BS28" i="20"/>
  <c r="BT28" i="20"/>
  <c r="BU28" i="20"/>
  <c r="BV28" i="20"/>
  <c r="BW28" i="20"/>
  <c r="BO29" i="20"/>
  <c r="BP29" i="20"/>
  <c r="BQ29" i="20"/>
  <c r="BR29" i="20"/>
  <c r="BS29" i="20"/>
  <c r="BT29" i="20"/>
  <c r="BU29" i="20"/>
  <c r="BV29" i="20"/>
  <c r="BW29" i="20"/>
  <c r="BO30" i="20"/>
  <c r="BP30" i="20"/>
  <c r="BQ30" i="20"/>
  <c r="BR30" i="20"/>
  <c r="BS30" i="20"/>
  <c r="BT30" i="20"/>
  <c r="BU30" i="20"/>
  <c r="BV30" i="20"/>
  <c r="BW30" i="20"/>
  <c r="AW11" i="20"/>
  <c r="AX11" i="20"/>
  <c r="AY11" i="20"/>
  <c r="AZ11" i="20"/>
  <c r="BA11" i="20"/>
  <c r="BB11" i="20"/>
  <c r="BC11" i="20"/>
  <c r="BD11" i="20"/>
  <c r="BE11" i="20"/>
  <c r="AW12" i="20"/>
  <c r="AX12" i="20"/>
  <c r="AY12" i="20"/>
  <c r="AZ12" i="20"/>
  <c r="BA12" i="20"/>
  <c r="BB12" i="20"/>
  <c r="BC12" i="20"/>
  <c r="BD12" i="20"/>
  <c r="BE12" i="20"/>
  <c r="AW13" i="20"/>
  <c r="AX13" i="20"/>
  <c r="AY13" i="20"/>
  <c r="AZ13" i="20"/>
  <c r="BA13" i="20"/>
  <c r="BB13" i="20"/>
  <c r="BC13" i="20"/>
  <c r="BD13" i="20"/>
  <c r="BE13" i="20"/>
  <c r="AW14" i="20"/>
  <c r="AX14" i="20"/>
  <c r="AY14" i="20"/>
  <c r="AZ14" i="20"/>
  <c r="BA14" i="20"/>
  <c r="BB14" i="20"/>
  <c r="BC14" i="20"/>
  <c r="BD14" i="20"/>
  <c r="BE14" i="20"/>
  <c r="AW15" i="20"/>
  <c r="AX15" i="20"/>
  <c r="AY15" i="20"/>
  <c r="AZ15" i="20"/>
  <c r="BA15" i="20"/>
  <c r="BB15" i="20"/>
  <c r="BC15" i="20"/>
  <c r="BD15" i="20"/>
  <c r="BE15" i="20"/>
  <c r="AW16" i="20"/>
  <c r="AX16" i="20"/>
  <c r="AY16" i="20"/>
  <c r="AZ16" i="20"/>
  <c r="BA16" i="20"/>
  <c r="BB16" i="20"/>
  <c r="BC16" i="20"/>
  <c r="BD16" i="20"/>
  <c r="BE16" i="20"/>
  <c r="AW17" i="20"/>
  <c r="AX17" i="20"/>
  <c r="AY17" i="20"/>
  <c r="AZ17" i="20"/>
  <c r="BA17" i="20"/>
  <c r="BB17" i="20"/>
  <c r="BC17" i="20"/>
  <c r="BD17" i="20"/>
  <c r="BE17" i="20"/>
  <c r="AW18" i="20"/>
  <c r="AX18" i="20"/>
  <c r="AY18" i="20"/>
  <c r="AZ18" i="20"/>
  <c r="BA18" i="20"/>
  <c r="BB18" i="20"/>
  <c r="BC18" i="20"/>
  <c r="BD18" i="20"/>
  <c r="BE18" i="20"/>
  <c r="AW19" i="20"/>
  <c r="AX19" i="20"/>
  <c r="AY19" i="20"/>
  <c r="AZ19" i="20"/>
  <c r="BA19" i="20"/>
  <c r="BB19" i="20"/>
  <c r="BC19" i="20"/>
  <c r="BD19" i="20"/>
  <c r="BE19" i="20"/>
  <c r="AW20" i="20"/>
  <c r="AX20" i="20"/>
  <c r="AY20" i="20"/>
  <c r="AZ20" i="20"/>
  <c r="BA20" i="20"/>
  <c r="BB20" i="20"/>
  <c r="BC20" i="20"/>
  <c r="BD20" i="20"/>
  <c r="BE20" i="20"/>
  <c r="AW21" i="20"/>
  <c r="AX21" i="20"/>
  <c r="AY21" i="20"/>
  <c r="AZ21" i="20"/>
  <c r="BA21" i="20"/>
  <c r="BB21" i="20"/>
  <c r="BC21" i="20"/>
  <c r="BD21" i="20"/>
  <c r="BE21" i="20"/>
  <c r="AW22" i="20"/>
  <c r="AX22" i="20"/>
  <c r="AY22" i="20"/>
  <c r="AZ22" i="20"/>
  <c r="BA22" i="20"/>
  <c r="BB22" i="20"/>
  <c r="BC22" i="20"/>
  <c r="BD22" i="20"/>
  <c r="BE22" i="20"/>
  <c r="AW23" i="20"/>
  <c r="AX23" i="20"/>
  <c r="AY23" i="20"/>
  <c r="AZ23" i="20"/>
  <c r="BA23" i="20"/>
  <c r="BB23" i="20"/>
  <c r="BC23" i="20"/>
  <c r="BD23" i="20"/>
  <c r="BE23" i="20"/>
  <c r="AW24" i="20"/>
  <c r="AX24" i="20"/>
  <c r="AY24" i="20"/>
  <c r="AZ24" i="20"/>
  <c r="BA24" i="20"/>
  <c r="BB24" i="20"/>
  <c r="BC24" i="20"/>
  <c r="BD24" i="20"/>
  <c r="BE24" i="20"/>
  <c r="AW25" i="20"/>
  <c r="AX25" i="20"/>
  <c r="AY25" i="20"/>
  <c r="AZ25" i="20"/>
  <c r="BA25" i="20"/>
  <c r="BB25" i="20"/>
  <c r="BC25" i="20"/>
  <c r="BD25" i="20"/>
  <c r="BE25" i="20"/>
  <c r="AW26" i="20"/>
  <c r="AX26" i="20"/>
  <c r="AY26" i="20"/>
  <c r="AZ26" i="20"/>
  <c r="BA26" i="20"/>
  <c r="BB26" i="20"/>
  <c r="BC26" i="20"/>
  <c r="BD26" i="20"/>
  <c r="BE26" i="20"/>
  <c r="AW27" i="20"/>
  <c r="AX27" i="20"/>
  <c r="AY27" i="20"/>
  <c r="AZ27" i="20"/>
  <c r="BA27" i="20"/>
  <c r="BB27" i="20"/>
  <c r="BC27" i="20"/>
  <c r="BD27" i="20"/>
  <c r="BE27" i="20"/>
  <c r="AW28" i="20"/>
  <c r="AX28" i="20"/>
  <c r="AY28" i="20"/>
  <c r="AZ28" i="20"/>
  <c r="BA28" i="20"/>
  <c r="BB28" i="20"/>
  <c r="BC28" i="20"/>
  <c r="BD28" i="20"/>
  <c r="BE28" i="20"/>
  <c r="AW29" i="20"/>
  <c r="AX29" i="20"/>
  <c r="AY29" i="20"/>
  <c r="AZ29" i="20"/>
  <c r="BA29" i="20"/>
  <c r="BB29" i="20"/>
  <c r="BC29" i="20"/>
  <c r="BD29" i="20"/>
  <c r="BE29" i="20"/>
  <c r="AW30" i="20"/>
  <c r="AX30" i="20"/>
  <c r="AY30" i="20"/>
  <c r="AZ30" i="20"/>
  <c r="BA30" i="20"/>
  <c r="BB30" i="20"/>
  <c r="BC30" i="20"/>
  <c r="BD30" i="20"/>
  <c r="BE30" i="20"/>
  <c r="AE11" i="20"/>
  <c r="AF11" i="20"/>
  <c r="AG11" i="20"/>
  <c r="AH11" i="20"/>
  <c r="AI11" i="20"/>
  <c r="AJ11" i="20"/>
  <c r="AK11" i="20"/>
  <c r="AL11" i="20"/>
  <c r="AM11" i="20"/>
  <c r="AE12" i="20"/>
  <c r="AF12" i="20"/>
  <c r="AG12" i="20"/>
  <c r="AH12" i="20"/>
  <c r="AI12" i="20"/>
  <c r="AJ12" i="20"/>
  <c r="AK12" i="20"/>
  <c r="AL12" i="20"/>
  <c r="AM12" i="20"/>
  <c r="AE13" i="20"/>
  <c r="AF13" i="20"/>
  <c r="AG13" i="20"/>
  <c r="AH13" i="20"/>
  <c r="AI13" i="20"/>
  <c r="AJ13" i="20"/>
  <c r="AK13" i="20"/>
  <c r="AL13" i="20"/>
  <c r="AM13" i="20"/>
  <c r="AE14" i="20"/>
  <c r="AF14" i="20"/>
  <c r="AG14" i="20"/>
  <c r="AH14" i="20"/>
  <c r="AI14" i="20"/>
  <c r="AJ14" i="20"/>
  <c r="AK14" i="20"/>
  <c r="AL14" i="20"/>
  <c r="AM14" i="20"/>
  <c r="AE15" i="20"/>
  <c r="AF15" i="20"/>
  <c r="AG15" i="20"/>
  <c r="AH15" i="20"/>
  <c r="AI15" i="20"/>
  <c r="AJ15" i="20"/>
  <c r="AK15" i="20"/>
  <c r="AL15" i="20"/>
  <c r="AM15" i="20"/>
  <c r="AE16" i="20"/>
  <c r="AF16" i="20"/>
  <c r="AG16" i="20"/>
  <c r="AH16" i="20"/>
  <c r="AI16" i="20"/>
  <c r="AJ16" i="20"/>
  <c r="AK16" i="20"/>
  <c r="AL16" i="20"/>
  <c r="AM16" i="20"/>
  <c r="AE17" i="20"/>
  <c r="AF17" i="20"/>
  <c r="AG17" i="20"/>
  <c r="AH17" i="20"/>
  <c r="AI17" i="20"/>
  <c r="AJ17" i="20"/>
  <c r="AK17" i="20"/>
  <c r="AL17" i="20"/>
  <c r="AM17" i="20"/>
  <c r="AE18" i="20"/>
  <c r="AF18" i="20"/>
  <c r="AG18" i="20"/>
  <c r="AH18" i="20"/>
  <c r="AI18" i="20"/>
  <c r="AJ18" i="20"/>
  <c r="AK18" i="20"/>
  <c r="AL18" i="20"/>
  <c r="AM18" i="20"/>
  <c r="AE19" i="20"/>
  <c r="AF19" i="20"/>
  <c r="AG19" i="20"/>
  <c r="AH19" i="20"/>
  <c r="AI19" i="20"/>
  <c r="AJ19" i="20"/>
  <c r="AK19" i="20"/>
  <c r="AL19" i="20"/>
  <c r="AM19" i="20"/>
  <c r="AE20" i="20"/>
  <c r="AF20" i="20"/>
  <c r="AG20" i="20"/>
  <c r="AH20" i="20"/>
  <c r="AI20" i="20"/>
  <c r="AJ20" i="20"/>
  <c r="AK20" i="20"/>
  <c r="AL20" i="20"/>
  <c r="AM20" i="20"/>
  <c r="AE21" i="20"/>
  <c r="AF21" i="20"/>
  <c r="AG21" i="20"/>
  <c r="AH21" i="20"/>
  <c r="AI21" i="20"/>
  <c r="AJ21" i="20"/>
  <c r="AK21" i="20"/>
  <c r="AL21" i="20"/>
  <c r="AM21" i="20"/>
  <c r="AE22" i="20"/>
  <c r="AF22" i="20"/>
  <c r="AG22" i="20"/>
  <c r="AH22" i="20"/>
  <c r="AI22" i="20"/>
  <c r="AJ22" i="20"/>
  <c r="AK22" i="20"/>
  <c r="AL22" i="20"/>
  <c r="AM22" i="20"/>
  <c r="AE23" i="20"/>
  <c r="AF23" i="20"/>
  <c r="AG23" i="20"/>
  <c r="AH23" i="20"/>
  <c r="AI23" i="20"/>
  <c r="AJ23" i="20"/>
  <c r="AK23" i="20"/>
  <c r="AL23" i="20"/>
  <c r="AM23" i="20"/>
  <c r="AE24" i="20"/>
  <c r="AF24" i="20"/>
  <c r="AG24" i="20"/>
  <c r="AH24" i="20"/>
  <c r="AI24" i="20"/>
  <c r="AJ24" i="20"/>
  <c r="AK24" i="20"/>
  <c r="AL24" i="20"/>
  <c r="AM24" i="20"/>
  <c r="AE25" i="20"/>
  <c r="AF25" i="20"/>
  <c r="AG25" i="20"/>
  <c r="AH25" i="20"/>
  <c r="AI25" i="20"/>
  <c r="AJ25" i="20"/>
  <c r="AK25" i="20"/>
  <c r="AL25" i="20"/>
  <c r="AM25" i="20"/>
  <c r="AE26" i="20"/>
  <c r="AF26" i="20"/>
  <c r="AG26" i="20"/>
  <c r="AH26" i="20"/>
  <c r="AI26" i="20"/>
  <c r="AJ26" i="20"/>
  <c r="AK26" i="20"/>
  <c r="AL26" i="20"/>
  <c r="AM26" i="20"/>
  <c r="AE27" i="20"/>
  <c r="AF27" i="20"/>
  <c r="AG27" i="20"/>
  <c r="AH27" i="20"/>
  <c r="AI27" i="20"/>
  <c r="AJ27" i="20"/>
  <c r="AK27" i="20"/>
  <c r="AL27" i="20"/>
  <c r="AM27" i="20"/>
  <c r="AE28" i="20"/>
  <c r="AF28" i="20"/>
  <c r="AG28" i="20"/>
  <c r="AH28" i="20"/>
  <c r="AI28" i="20"/>
  <c r="AJ28" i="20"/>
  <c r="AK28" i="20"/>
  <c r="AL28" i="20"/>
  <c r="AM28" i="20"/>
  <c r="AE29" i="20"/>
  <c r="AF29" i="20"/>
  <c r="AG29" i="20"/>
  <c r="AH29" i="20"/>
  <c r="AI29" i="20"/>
  <c r="AJ29" i="20"/>
  <c r="AK29" i="20"/>
  <c r="AL29" i="20"/>
  <c r="AM29" i="20"/>
  <c r="AE30" i="20"/>
  <c r="AF30" i="20"/>
  <c r="AG30" i="20"/>
  <c r="AH30" i="20"/>
  <c r="AI30" i="20"/>
  <c r="AJ30" i="20"/>
  <c r="AK30" i="20"/>
  <c r="AL30" i="20"/>
  <c r="AM30" i="20"/>
  <c r="L5" i="24" l="1"/>
  <c r="I50" i="22"/>
  <c r="I49" i="22"/>
  <c r="I48" i="22"/>
  <c r="I47" i="22"/>
  <c r="I46" i="22"/>
  <c r="I45" i="22"/>
  <c r="I44" i="22"/>
  <c r="I43" i="22"/>
  <c r="G50" i="22"/>
  <c r="G49" i="22"/>
  <c r="G48" i="22"/>
  <c r="G47" i="22"/>
  <c r="G46" i="22"/>
  <c r="G45" i="22"/>
  <c r="G44" i="22"/>
  <c r="G43" i="22"/>
  <c r="E28" i="22"/>
  <c r="B216" i="5" l="1"/>
  <c r="B217" i="5"/>
  <c r="B218" i="5"/>
  <c r="B219" i="5"/>
  <c r="B220" i="5"/>
  <c r="B221" i="5"/>
  <c r="B222" i="5"/>
  <c r="B223" i="5"/>
  <c r="B224" i="5"/>
  <c r="B225" i="5"/>
  <c r="B226" i="5"/>
  <c r="C216" i="5"/>
  <c r="L216" i="5" s="1"/>
  <c r="C217" i="5"/>
  <c r="L217" i="5" s="1"/>
  <c r="C218" i="5"/>
  <c r="L218" i="5" s="1"/>
  <c r="C219" i="5"/>
  <c r="L219" i="5" s="1"/>
  <c r="C220" i="5"/>
  <c r="L220" i="5" s="1"/>
  <c r="C221" i="5"/>
  <c r="L221" i="5" s="1"/>
  <c r="C222" i="5"/>
  <c r="L222" i="5" s="1"/>
  <c r="C223" i="5"/>
  <c r="L223" i="5" s="1"/>
  <c r="C224" i="5"/>
  <c r="L224" i="5" s="1"/>
  <c r="C225" i="5"/>
  <c r="L225" i="5" s="1"/>
  <c r="E7" i="24" s="1"/>
  <c r="C226" i="5"/>
  <c r="L226" i="5" s="1"/>
  <c r="D216" i="5"/>
  <c r="D217" i="5"/>
  <c r="D218" i="5"/>
  <c r="D219" i="5"/>
  <c r="D220" i="5"/>
  <c r="D221" i="5"/>
  <c r="D222" i="5"/>
  <c r="D223" i="5"/>
  <c r="D224" i="5"/>
  <c r="D225" i="5"/>
  <c r="D226" i="5"/>
  <c r="M216" i="5"/>
  <c r="M217" i="5"/>
  <c r="M218" i="5"/>
  <c r="M219" i="5"/>
  <c r="M220" i="5"/>
  <c r="M221" i="5"/>
  <c r="M222" i="5"/>
  <c r="M223" i="5"/>
  <c r="M224" i="5"/>
  <c r="M225" i="5"/>
  <c r="M226" i="5"/>
  <c r="N216" i="5"/>
  <c r="N217" i="5"/>
  <c r="N218" i="5"/>
  <c r="N219" i="5"/>
  <c r="N220" i="5"/>
  <c r="N221" i="5"/>
  <c r="N222" i="5"/>
  <c r="N223" i="5"/>
  <c r="N224" i="5"/>
  <c r="N225" i="5"/>
  <c r="N226" i="5"/>
  <c r="O216" i="5"/>
  <c r="O217" i="5"/>
  <c r="O218" i="5"/>
  <c r="O219" i="5"/>
  <c r="O220" i="5"/>
  <c r="O221" i="5"/>
  <c r="O222" i="5"/>
  <c r="O223" i="5"/>
  <c r="O224" i="5"/>
  <c r="O225" i="5"/>
  <c r="O226" i="5"/>
  <c r="P216" i="5"/>
  <c r="P217" i="5"/>
  <c r="P218" i="5"/>
  <c r="P219" i="5"/>
  <c r="P220" i="5"/>
  <c r="P221" i="5"/>
  <c r="P222" i="5"/>
  <c r="P223" i="5"/>
  <c r="P224" i="5"/>
  <c r="P225" i="5"/>
  <c r="P226" i="5"/>
  <c r="Q216" i="5"/>
  <c r="Q217" i="5"/>
  <c r="Q218" i="5"/>
  <c r="Q219" i="5"/>
  <c r="Q220" i="5"/>
  <c r="Q221" i="5"/>
  <c r="Q222" i="5"/>
  <c r="Q223" i="5"/>
  <c r="Q224" i="5"/>
  <c r="Q225" i="5"/>
  <c r="Q226" i="5"/>
  <c r="R216" i="5"/>
  <c r="R217" i="5"/>
  <c r="R218" i="5"/>
  <c r="R219" i="5"/>
  <c r="R220" i="5"/>
  <c r="R221" i="5"/>
  <c r="R222" i="5"/>
  <c r="R223" i="5"/>
  <c r="R224" i="5"/>
  <c r="R225" i="5"/>
  <c r="R226" i="5"/>
  <c r="S216" i="5"/>
  <c r="S217" i="5"/>
  <c r="S218" i="5"/>
  <c r="S219" i="5"/>
  <c r="S220" i="5"/>
  <c r="S221" i="5"/>
  <c r="S222" i="5"/>
  <c r="S223" i="5"/>
  <c r="S224" i="5"/>
  <c r="S225" i="5"/>
  <c r="S226" i="5"/>
  <c r="C6" i="24" l="1"/>
  <c r="B214" i="5"/>
  <c r="B215" i="5"/>
  <c r="C214" i="5"/>
  <c r="L214" i="5" s="1"/>
  <c r="C215" i="5"/>
  <c r="L215" i="5" s="1"/>
  <c r="D214" i="5"/>
  <c r="D215" i="5"/>
  <c r="M214" i="5"/>
  <c r="M215" i="5"/>
  <c r="N214" i="5"/>
  <c r="N215" i="5"/>
  <c r="O214" i="5"/>
  <c r="O215" i="5"/>
  <c r="P214" i="5"/>
  <c r="P215" i="5"/>
  <c r="Q214" i="5"/>
  <c r="Q215" i="5"/>
  <c r="R214" i="5"/>
  <c r="R215" i="5"/>
  <c r="S214" i="5"/>
  <c r="S215" i="5"/>
  <c r="B213" i="5"/>
  <c r="C213" i="5"/>
  <c r="L213" i="5" s="1"/>
  <c r="D213" i="5"/>
  <c r="M213" i="5"/>
  <c r="N213" i="5"/>
  <c r="O213" i="5"/>
  <c r="P213" i="5"/>
  <c r="Q213" i="5"/>
  <c r="R213" i="5"/>
  <c r="S213" i="5"/>
  <c r="B212" i="5"/>
  <c r="C212" i="5"/>
  <c r="L212" i="5" s="1"/>
  <c r="D212" i="5"/>
  <c r="M212" i="5"/>
  <c r="N212" i="5"/>
  <c r="O212" i="5"/>
  <c r="P212" i="5"/>
  <c r="Q212" i="5"/>
  <c r="R212" i="5"/>
  <c r="S212" i="5"/>
  <c r="B210" i="5"/>
  <c r="B211" i="5"/>
  <c r="C210" i="5"/>
  <c r="L210" i="5" s="1"/>
  <c r="C211" i="5"/>
  <c r="L211" i="5" s="1"/>
  <c r="D210" i="5"/>
  <c r="D211" i="5"/>
  <c r="M210" i="5"/>
  <c r="M211" i="5"/>
  <c r="N210" i="5"/>
  <c r="N211" i="5"/>
  <c r="O210" i="5"/>
  <c r="O211" i="5"/>
  <c r="P210" i="5"/>
  <c r="P211" i="5"/>
  <c r="Q210" i="5"/>
  <c r="Q211" i="5"/>
  <c r="R210" i="5"/>
  <c r="R211" i="5"/>
  <c r="S210" i="5"/>
  <c r="S211" i="5"/>
  <c r="B209" i="5"/>
  <c r="C209" i="5"/>
  <c r="L209" i="5" s="1"/>
  <c r="D209" i="5"/>
  <c r="M209" i="5"/>
  <c r="N209" i="5"/>
  <c r="O209" i="5"/>
  <c r="P209" i="5"/>
  <c r="Q209" i="5"/>
  <c r="R209" i="5"/>
  <c r="S209" i="5"/>
  <c r="B208" i="5"/>
  <c r="C208" i="5"/>
  <c r="L208" i="5" s="1"/>
  <c r="D208" i="5"/>
  <c r="M208" i="5"/>
  <c r="N208" i="5"/>
  <c r="O208" i="5"/>
  <c r="P208" i="5"/>
  <c r="Q208" i="5"/>
  <c r="R208" i="5"/>
  <c r="S208" i="5"/>
  <c r="BF11" i="20" l="1"/>
  <c r="BG11" i="20"/>
  <c r="BH11" i="20"/>
  <c r="BI11" i="20"/>
  <c r="BJ11" i="20"/>
  <c r="BK11" i="20"/>
  <c r="BL11" i="20"/>
  <c r="BM11" i="20"/>
  <c r="BN11" i="20"/>
  <c r="BF12" i="20"/>
  <c r="BG12" i="20"/>
  <c r="BH12" i="20"/>
  <c r="BI12" i="20"/>
  <c r="BJ12" i="20"/>
  <c r="BK12" i="20"/>
  <c r="BL12" i="20"/>
  <c r="BM12" i="20"/>
  <c r="BN12" i="20"/>
  <c r="BF13" i="20"/>
  <c r="BG13" i="20"/>
  <c r="BH13" i="20"/>
  <c r="BI13" i="20"/>
  <c r="BJ13" i="20"/>
  <c r="BK13" i="20"/>
  <c r="BL13" i="20"/>
  <c r="BM13" i="20"/>
  <c r="BN13" i="20"/>
  <c r="BF14" i="20"/>
  <c r="BG14" i="20"/>
  <c r="BH14" i="20"/>
  <c r="BI14" i="20"/>
  <c r="BJ14" i="20"/>
  <c r="BK14" i="20"/>
  <c r="BL14" i="20"/>
  <c r="BM14" i="20"/>
  <c r="BN14" i="20"/>
  <c r="BF15" i="20"/>
  <c r="BG15" i="20"/>
  <c r="BH15" i="20"/>
  <c r="BI15" i="20"/>
  <c r="BJ15" i="20"/>
  <c r="BK15" i="20"/>
  <c r="BL15" i="20"/>
  <c r="BM15" i="20"/>
  <c r="BN15" i="20"/>
  <c r="BF16" i="20"/>
  <c r="BG16" i="20"/>
  <c r="BH16" i="20"/>
  <c r="BI16" i="20"/>
  <c r="BJ16" i="20"/>
  <c r="BK16" i="20"/>
  <c r="BL16" i="20"/>
  <c r="BM16" i="20"/>
  <c r="BN16" i="20"/>
  <c r="BF17" i="20"/>
  <c r="BG17" i="20"/>
  <c r="BH17" i="20"/>
  <c r="BI17" i="20"/>
  <c r="BJ17" i="20"/>
  <c r="BK17" i="20"/>
  <c r="BL17" i="20"/>
  <c r="BM17" i="20"/>
  <c r="BN17" i="20"/>
  <c r="BF18" i="20"/>
  <c r="BG18" i="20"/>
  <c r="BH18" i="20"/>
  <c r="BI18" i="20"/>
  <c r="BJ18" i="20"/>
  <c r="BK18" i="20"/>
  <c r="BL18" i="20"/>
  <c r="BM18" i="20"/>
  <c r="BN18" i="20"/>
  <c r="BF19" i="20"/>
  <c r="BG19" i="20"/>
  <c r="BH19" i="20"/>
  <c r="BI19" i="20"/>
  <c r="BJ19" i="20"/>
  <c r="BK19" i="20"/>
  <c r="BL19" i="20"/>
  <c r="BM19" i="20"/>
  <c r="BN19" i="20"/>
  <c r="BF20" i="20"/>
  <c r="BG20" i="20"/>
  <c r="BH20" i="20"/>
  <c r="BI20" i="20"/>
  <c r="BJ20" i="20"/>
  <c r="BK20" i="20"/>
  <c r="BL20" i="20"/>
  <c r="BM20" i="20"/>
  <c r="BN20" i="20"/>
  <c r="BF21" i="20"/>
  <c r="BG21" i="20"/>
  <c r="BH21" i="20"/>
  <c r="BI21" i="20"/>
  <c r="BJ21" i="20"/>
  <c r="BK21" i="20"/>
  <c r="BL21" i="20"/>
  <c r="BM21" i="20"/>
  <c r="BN21" i="20"/>
  <c r="BF22" i="20"/>
  <c r="BG22" i="20"/>
  <c r="BH22" i="20"/>
  <c r="BI22" i="20"/>
  <c r="BJ22" i="20"/>
  <c r="BK22" i="20"/>
  <c r="BL22" i="20"/>
  <c r="BM22" i="20"/>
  <c r="BN22" i="20"/>
  <c r="BF23" i="20"/>
  <c r="BG23" i="20"/>
  <c r="BH23" i="20"/>
  <c r="BI23" i="20"/>
  <c r="BJ23" i="20"/>
  <c r="BK23" i="20"/>
  <c r="BL23" i="20"/>
  <c r="BM23" i="20"/>
  <c r="BN23" i="20"/>
  <c r="BF24" i="20"/>
  <c r="BG24" i="20"/>
  <c r="BH24" i="20"/>
  <c r="BI24" i="20"/>
  <c r="BJ24" i="20"/>
  <c r="BK24" i="20"/>
  <c r="BL24" i="20"/>
  <c r="BM24" i="20"/>
  <c r="BN24" i="20"/>
  <c r="BF25" i="20"/>
  <c r="BG25" i="20"/>
  <c r="BH25" i="20"/>
  <c r="BI25" i="20"/>
  <c r="BJ25" i="20"/>
  <c r="BK25" i="20"/>
  <c r="BL25" i="20"/>
  <c r="BM25" i="20"/>
  <c r="BN25" i="20"/>
  <c r="BF26" i="20"/>
  <c r="BG26" i="20"/>
  <c r="BH26" i="20"/>
  <c r="BI26" i="20"/>
  <c r="BJ26" i="20"/>
  <c r="BK26" i="20"/>
  <c r="BL26" i="20"/>
  <c r="BM26" i="20"/>
  <c r="BN26" i="20"/>
  <c r="BF27" i="20"/>
  <c r="BG27" i="20"/>
  <c r="BH27" i="20"/>
  <c r="BI27" i="20"/>
  <c r="BJ27" i="20"/>
  <c r="BK27" i="20"/>
  <c r="BL27" i="20"/>
  <c r="BM27" i="20"/>
  <c r="BN27" i="20"/>
  <c r="BF28" i="20"/>
  <c r="BG28" i="20"/>
  <c r="BH28" i="20"/>
  <c r="BI28" i="20"/>
  <c r="BJ28" i="20"/>
  <c r="BK28" i="20"/>
  <c r="BL28" i="20"/>
  <c r="BM28" i="20"/>
  <c r="BN28" i="20"/>
  <c r="BF29" i="20"/>
  <c r="BG29" i="20"/>
  <c r="BH29" i="20"/>
  <c r="BI29" i="20"/>
  <c r="BJ29" i="20"/>
  <c r="BK29" i="20"/>
  <c r="BL29" i="20"/>
  <c r="BM29" i="20"/>
  <c r="BN29" i="20"/>
  <c r="BF30" i="20"/>
  <c r="BG30" i="20"/>
  <c r="BH30" i="20"/>
  <c r="BI30" i="20"/>
  <c r="BJ30" i="20"/>
  <c r="BK30" i="20"/>
  <c r="BL30" i="20"/>
  <c r="BM30" i="20"/>
  <c r="BN30" i="20"/>
  <c r="AN11" i="20"/>
  <c r="AO11" i="20"/>
  <c r="AP11" i="20"/>
  <c r="AQ11" i="20"/>
  <c r="AR11" i="20"/>
  <c r="AS11" i="20"/>
  <c r="AT11" i="20"/>
  <c r="AU11" i="20"/>
  <c r="AV11" i="20"/>
  <c r="AN12" i="20"/>
  <c r="AO12" i="20"/>
  <c r="AP12" i="20"/>
  <c r="AQ12" i="20"/>
  <c r="AR12" i="20"/>
  <c r="AS12" i="20"/>
  <c r="AT12" i="20"/>
  <c r="AU12" i="20"/>
  <c r="AV12" i="20"/>
  <c r="AN13" i="20"/>
  <c r="AO13" i="20"/>
  <c r="AP13" i="20"/>
  <c r="AQ13" i="20"/>
  <c r="AR13" i="20"/>
  <c r="AS13" i="20"/>
  <c r="AT13" i="20"/>
  <c r="AU13" i="20"/>
  <c r="AV13" i="20"/>
  <c r="AN14" i="20"/>
  <c r="AO14" i="20"/>
  <c r="AP14" i="20"/>
  <c r="AQ14" i="20"/>
  <c r="AR14" i="20"/>
  <c r="AS14" i="20"/>
  <c r="AT14" i="20"/>
  <c r="AU14" i="20"/>
  <c r="AV14" i="20"/>
  <c r="AN15" i="20"/>
  <c r="AO15" i="20"/>
  <c r="AP15" i="20"/>
  <c r="AQ15" i="20"/>
  <c r="AR15" i="20"/>
  <c r="AS15" i="20"/>
  <c r="AT15" i="20"/>
  <c r="AU15" i="20"/>
  <c r="AV15" i="20"/>
  <c r="AN16" i="20"/>
  <c r="AO16" i="20"/>
  <c r="AP16" i="20"/>
  <c r="AQ16" i="20"/>
  <c r="AR16" i="20"/>
  <c r="AS16" i="20"/>
  <c r="AT16" i="20"/>
  <c r="AU16" i="20"/>
  <c r="AV16" i="20"/>
  <c r="AN17" i="20"/>
  <c r="AO17" i="20"/>
  <c r="AP17" i="20"/>
  <c r="AQ17" i="20"/>
  <c r="AR17" i="20"/>
  <c r="AS17" i="20"/>
  <c r="AT17" i="20"/>
  <c r="AU17" i="20"/>
  <c r="AV17" i="20"/>
  <c r="AN18" i="20"/>
  <c r="AO18" i="20"/>
  <c r="AP18" i="20"/>
  <c r="AQ18" i="20"/>
  <c r="AR18" i="20"/>
  <c r="AS18" i="20"/>
  <c r="AT18" i="20"/>
  <c r="AU18" i="20"/>
  <c r="AV18" i="20"/>
  <c r="AN19" i="20"/>
  <c r="AO19" i="20"/>
  <c r="AP19" i="20"/>
  <c r="AQ19" i="20"/>
  <c r="AR19" i="20"/>
  <c r="AS19" i="20"/>
  <c r="AT19" i="20"/>
  <c r="AU19" i="20"/>
  <c r="AV19" i="20"/>
  <c r="AN20" i="20"/>
  <c r="AO20" i="20"/>
  <c r="AP20" i="20"/>
  <c r="AQ20" i="20"/>
  <c r="AR20" i="20"/>
  <c r="AS20" i="20"/>
  <c r="AT20" i="20"/>
  <c r="AU20" i="20"/>
  <c r="AV20" i="20"/>
  <c r="AN21" i="20"/>
  <c r="AO21" i="20"/>
  <c r="AP21" i="20"/>
  <c r="AQ21" i="20"/>
  <c r="AR21" i="20"/>
  <c r="AS21" i="20"/>
  <c r="AT21" i="20"/>
  <c r="AU21" i="20"/>
  <c r="AV21" i="20"/>
  <c r="AN22" i="20"/>
  <c r="AO22" i="20"/>
  <c r="AP22" i="20"/>
  <c r="AQ22" i="20"/>
  <c r="AR22" i="20"/>
  <c r="AS22" i="20"/>
  <c r="AT22" i="20"/>
  <c r="AU22" i="20"/>
  <c r="AV22" i="20"/>
  <c r="AN23" i="20"/>
  <c r="AO23" i="20"/>
  <c r="AP23" i="20"/>
  <c r="AQ23" i="20"/>
  <c r="AR23" i="20"/>
  <c r="AS23" i="20"/>
  <c r="AT23" i="20"/>
  <c r="AU23" i="20"/>
  <c r="AV23" i="20"/>
  <c r="AN24" i="20"/>
  <c r="AO24" i="20"/>
  <c r="AP24" i="20"/>
  <c r="AQ24" i="20"/>
  <c r="AR24" i="20"/>
  <c r="AS24" i="20"/>
  <c r="AT24" i="20"/>
  <c r="AU24" i="20"/>
  <c r="AV24" i="20"/>
  <c r="AN25" i="20"/>
  <c r="AO25" i="20"/>
  <c r="AP25" i="20"/>
  <c r="AQ25" i="20"/>
  <c r="AR25" i="20"/>
  <c r="AS25" i="20"/>
  <c r="AT25" i="20"/>
  <c r="AU25" i="20"/>
  <c r="AV25" i="20"/>
  <c r="AN26" i="20"/>
  <c r="AO26" i="20"/>
  <c r="AP26" i="20"/>
  <c r="AQ26" i="20"/>
  <c r="AR26" i="20"/>
  <c r="AS26" i="20"/>
  <c r="AT26" i="20"/>
  <c r="AU26" i="20"/>
  <c r="AV26" i="20"/>
  <c r="AN27" i="20"/>
  <c r="AO27" i="20"/>
  <c r="AP27" i="20"/>
  <c r="AQ27" i="20"/>
  <c r="AR27" i="20"/>
  <c r="AS27" i="20"/>
  <c r="AT27" i="20"/>
  <c r="AU27" i="20"/>
  <c r="AV27" i="20"/>
  <c r="AN28" i="20"/>
  <c r="AO28" i="20"/>
  <c r="AP28" i="20"/>
  <c r="AQ28" i="20"/>
  <c r="AR28" i="20"/>
  <c r="AS28" i="20"/>
  <c r="AT28" i="20"/>
  <c r="AU28" i="20"/>
  <c r="AV28" i="20"/>
  <c r="AN29" i="20"/>
  <c r="AO29" i="20"/>
  <c r="AP29" i="20"/>
  <c r="AQ29" i="20"/>
  <c r="AR29" i="20"/>
  <c r="AS29" i="20"/>
  <c r="AT29" i="20"/>
  <c r="AU29" i="20"/>
  <c r="AV29" i="20"/>
  <c r="V11" i="20"/>
  <c r="W11" i="20"/>
  <c r="X11" i="20"/>
  <c r="Y11" i="20"/>
  <c r="Z11" i="20"/>
  <c r="AA11" i="20"/>
  <c r="AB11" i="20"/>
  <c r="AC11" i="20"/>
  <c r="AD11" i="20"/>
  <c r="V12" i="20"/>
  <c r="W12" i="20"/>
  <c r="X12" i="20"/>
  <c r="Y12" i="20"/>
  <c r="Z12" i="20"/>
  <c r="AA12" i="20"/>
  <c r="AB12" i="20"/>
  <c r="AC12" i="20"/>
  <c r="AD12" i="20"/>
  <c r="V13" i="20"/>
  <c r="W13" i="20"/>
  <c r="X13" i="20"/>
  <c r="Y13" i="20"/>
  <c r="Z13" i="20"/>
  <c r="AA13" i="20"/>
  <c r="AB13" i="20"/>
  <c r="AC13" i="20"/>
  <c r="AD13" i="20"/>
  <c r="V14" i="20"/>
  <c r="W14" i="20"/>
  <c r="X14" i="20"/>
  <c r="Y14" i="20"/>
  <c r="Z14" i="20"/>
  <c r="AA14" i="20"/>
  <c r="AB14" i="20"/>
  <c r="AC14" i="20"/>
  <c r="AD14" i="20"/>
  <c r="V15" i="20"/>
  <c r="W15" i="20"/>
  <c r="X15" i="20"/>
  <c r="Y15" i="20"/>
  <c r="Z15" i="20"/>
  <c r="AA15" i="20"/>
  <c r="AB15" i="20"/>
  <c r="AC15" i="20"/>
  <c r="AD15" i="20"/>
  <c r="V16" i="20"/>
  <c r="W16" i="20"/>
  <c r="X16" i="20"/>
  <c r="Y16" i="20"/>
  <c r="Z16" i="20"/>
  <c r="AA16" i="20"/>
  <c r="AB16" i="20"/>
  <c r="AC16" i="20"/>
  <c r="AD16" i="20"/>
  <c r="V17" i="20"/>
  <c r="W17" i="20"/>
  <c r="X17" i="20"/>
  <c r="Y17" i="20"/>
  <c r="Z17" i="20"/>
  <c r="AA17" i="20"/>
  <c r="AB17" i="20"/>
  <c r="AC17" i="20"/>
  <c r="AD17" i="20"/>
  <c r="V18" i="20"/>
  <c r="W18" i="20"/>
  <c r="X18" i="20"/>
  <c r="Y18" i="20"/>
  <c r="Z18" i="20"/>
  <c r="AA18" i="20"/>
  <c r="AB18" i="20"/>
  <c r="AC18" i="20"/>
  <c r="AD18" i="20"/>
  <c r="V19" i="20"/>
  <c r="W19" i="20"/>
  <c r="X19" i="20"/>
  <c r="Y19" i="20"/>
  <c r="Z19" i="20"/>
  <c r="AA19" i="20"/>
  <c r="AB19" i="20"/>
  <c r="AC19" i="20"/>
  <c r="AD19" i="20"/>
  <c r="V20" i="20"/>
  <c r="W20" i="20"/>
  <c r="X20" i="20"/>
  <c r="Y20" i="20"/>
  <c r="Z20" i="20"/>
  <c r="AA20" i="20"/>
  <c r="AB20" i="20"/>
  <c r="AC20" i="20"/>
  <c r="AD20" i="20"/>
  <c r="V21" i="20"/>
  <c r="W21" i="20"/>
  <c r="X21" i="20"/>
  <c r="Y21" i="20"/>
  <c r="Z21" i="20"/>
  <c r="AA21" i="20"/>
  <c r="AB21" i="20"/>
  <c r="AC21" i="20"/>
  <c r="AD21" i="20"/>
  <c r="V22" i="20"/>
  <c r="W22" i="20"/>
  <c r="X22" i="20"/>
  <c r="Y22" i="20"/>
  <c r="Z22" i="20"/>
  <c r="AA22" i="20"/>
  <c r="AB22" i="20"/>
  <c r="AC22" i="20"/>
  <c r="AD22" i="20"/>
  <c r="V23" i="20"/>
  <c r="W23" i="20"/>
  <c r="X23" i="20"/>
  <c r="Y23" i="20"/>
  <c r="Z23" i="20"/>
  <c r="AA23" i="20"/>
  <c r="AB23" i="20"/>
  <c r="AC23" i="20"/>
  <c r="AD23" i="20"/>
  <c r="V24" i="20"/>
  <c r="W24" i="20"/>
  <c r="X24" i="20"/>
  <c r="Y24" i="20"/>
  <c r="Z24" i="20"/>
  <c r="AA24" i="20"/>
  <c r="AB24" i="20"/>
  <c r="AC24" i="20"/>
  <c r="AD24" i="20"/>
  <c r="V25" i="20"/>
  <c r="W25" i="20"/>
  <c r="X25" i="20"/>
  <c r="Y25" i="20"/>
  <c r="Z25" i="20"/>
  <c r="AA25" i="20"/>
  <c r="AB25" i="20"/>
  <c r="AC25" i="20"/>
  <c r="AD25" i="20"/>
  <c r="V26" i="20"/>
  <c r="W26" i="20"/>
  <c r="X26" i="20"/>
  <c r="Y26" i="20"/>
  <c r="Z26" i="20"/>
  <c r="AA26" i="20"/>
  <c r="AB26" i="20"/>
  <c r="AC26" i="20"/>
  <c r="AD26" i="20"/>
  <c r="V27" i="20"/>
  <c r="W27" i="20"/>
  <c r="X27" i="20"/>
  <c r="Y27" i="20"/>
  <c r="Z27" i="20"/>
  <c r="AA27" i="20"/>
  <c r="AB27" i="20"/>
  <c r="AC27" i="20"/>
  <c r="AD27" i="20"/>
  <c r="V28" i="20"/>
  <c r="W28" i="20"/>
  <c r="X28" i="20"/>
  <c r="Y28" i="20"/>
  <c r="Z28" i="20"/>
  <c r="AA28" i="20"/>
  <c r="AB28" i="20"/>
  <c r="AC28" i="20"/>
  <c r="AD28" i="20"/>
  <c r="L22" i="20"/>
  <c r="M22" i="20"/>
  <c r="N22" i="20"/>
  <c r="O22" i="20"/>
  <c r="P22" i="20"/>
  <c r="Q22" i="20"/>
  <c r="R22" i="20"/>
  <c r="S22" i="20"/>
  <c r="T22" i="20"/>
  <c r="U22" i="20"/>
  <c r="L23" i="20"/>
  <c r="M23" i="20"/>
  <c r="N23" i="20"/>
  <c r="O23" i="20"/>
  <c r="P23" i="20"/>
  <c r="Q23" i="20"/>
  <c r="R23" i="20"/>
  <c r="S23" i="20"/>
  <c r="T23" i="20"/>
  <c r="U23" i="20"/>
  <c r="L24" i="20"/>
  <c r="M24" i="20"/>
  <c r="N24" i="20"/>
  <c r="O24" i="20"/>
  <c r="P24" i="20"/>
  <c r="Q24" i="20"/>
  <c r="R24" i="20"/>
  <c r="S24" i="20"/>
  <c r="T24" i="20"/>
  <c r="U24" i="20"/>
  <c r="L25" i="20"/>
  <c r="M25" i="20"/>
  <c r="N25" i="20"/>
  <c r="O25" i="20"/>
  <c r="P25" i="20"/>
  <c r="Q25" i="20"/>
  <c r="R25" i="20"/>
  <c r="S25" i="20"/>
  <c r="T25" i="20"/>
  <c r="U25" i="20"/>
  <c r="L26" i="20"/>
  <c r="M26" i="20"/>
  <c r="N26" i="20"/>
  <c r="O26" i="20"/>
  <c r="P26" i="20"/>
  <c r="Q26" i="20"/>
  <c r="R26" i="20"/>
  <c r="S26" i="20"/>
  <c r="T26" i="20"/>
  <c r="U26" i="20"/>
  <c r="L27" i="20"/>
  <c r="M27" i="20"/>
  <c r="N27" i="20"/>
  <c r="O27" i="20"/>
  <c r="P27" i="20"/>
  <c r="Q27" i="20"/>
  <c r="R27" i="20"/>
  <c r="S27" i="20"/>
  <c r="T27" i="20"/>
  <c r="U27" i="20"/>
  <c r="L11" i="20"/>
  <c r="M11" i="20"/>
  <c r="N11" i="20"/>
  <c r="O11" i="20"/>
  <c r="P11" i="20"/>
  <c r="Q11" i="20"/>
  <c r="R11" i="20"/>
  <c r="S11" i="20"/>
  <c r="T11" i="20"/>
  <c r="U11" i="20"/>
  <c r="L12" i="20"/>
  <c r="M12" i="20"/>
  <c r="N12" i="20"/>
  <c r="O12" i="20"/>
  <c r="P12" i="20"/>
  <c r="Q12" i="20"/>
  <c r="R12" i="20"/>
  <c r="S12" i="20"/>
  <c r="T12" i="20"/>
  <c r="U12" i="20"/>
  <c r="L13" i="20"/>
  <c r="M13" i="20"/>
  <c r="N13" i="20"/>
  <c r="O13" i="20"/>
  <c r="P13" i="20"/>
  <c r="Q13" i="20"/>
  <c r="R13" i="20"/>
  <c r="S13" i="20"/>
  <c r="T13" i="20"/>
  <c r="U13" i="20"/>
  <c r="L14" i="20"/>
  <c r="M14" i="20"/>
  <c r="N14" i="20"/>
  <c r="O14" i="20"/>
  <c r="P14" i="20"/>
  <c r="Q14" i="20"/>
  <c r="R14" i="20"/>
  <c r="S14" i="20"/>
  <c r="T14" i="20"/>
  <c r="U14" i="20"/>
  <c r="L15" i="20"/>
  <c r="M15" i="20"/>
  <c r="N15" i="20"/>
  <c r="O15" i="20"/>
  <c r="P15" i="20"/>
  <c r="Q15" i="20"/>
  <c r="R15" i="20"/>
  <c r="S15" i="20"/>
  <c r="T15" i="20"/>
  <c r="U15" i="20"/>
  <c r="L16" i="20"/>
  <c r="M16" i="20"/>
  <c r="N16" i="20"/>
  <c r="O16" i="20"/>
  <c r="P16" i="20"/>
  <c r="Q16" i="20"/>
  <c r="R16" i="20"/>
  <c r="S16" i="20"/>
  <c r="T16" i="20"/>
  <c r="U16" i="20"/>
  <c r="L17" i="20"/>
  <c r="M17" i="20"/>
  <c r="N17" i="20"/>
  <c r="O17" i="20"/>
  <c r="P17" i="20"/>
  <c r="Q17" i="20"/>
  <c r="R17" i="20"/>
  <c r="S17" i="20"/>
  <c r="T17" i="20"/>
  <c r="U17" i="20"/>
  <c r="L18" i="20"/>
  <c r="M18" i="20"/>
  <c r="N18" i="20"/>
  <c r="O18" i="20"/>
  <c r="P18" i="20"/>
  <c r="Q18" i="20"/>
  <c r="R18" i="20"/>
  <c r="S18" i="20"/>
  <c r="T18" i="20"/>
  <c r="U18" i="20"/>
  <c r="L19" i="20"/>
  <c r="M19" i="20"/>
  <c r="N19" i="20"/>
  <c r="O19" i="20"/>
  <c r="P19" i="20"/>
  <c r="Q19" i="20"/>
  <c r="R19" i="20"/>
  <c r="S19" i="20"/>
  <c r="T19" i="20"/>
  <c r="U19" i="20"/>
  <c r="L20" i="20"/>
  <c r="M20" i="20"/>
  <c r="N20" i="20"/>
  <c r="O20" i="20"/>
  <c r="P20" i="20"/>
  <c r="Q20" i="20"/>
  <c r="R20" i="20"/>
  <c r="S20" i="20"/>
  <c r="T20" i="20"/>
  <c r="U20" i="20"/>
  <c r="L21" i="20"/>
  <c r="M21" i="20"/>
  <c r="N21" i="20"/>
  <c r="O21" i="20"/>
  <c r="P21" i="20"/>
  <c r="Q21" i="20"/>
  <c r="R21" i="20"/>
  <c r="S21" i="20"/>
  <c r="T21" i="20"/>
  <c r="U21" i="20"/>
  <c r="A52" i="22" l="1"/>
  <c r="M50" i="22"/>
  <c r="J50" i="22"/>
  <c r="H50" i="22"/>
  <c r="F50" i="22"/>
  <c r="M49" i="22"/>
  <c r="J49" i="22"/>
  <c r="H49" i="22"/>
  <c r="F49" i="22"/>
  <c r="M48" i="22"/>
  <c r="J48" i="22"/>
  <c r="H48" i="22"/>
  <c r="F48" i="22"/>
  <c r="M47" i="22"/>
  <c r="J47" i="22"/>
  <c r="H47" i="22"/>
  <c r="F47" i="22"/>
  <c r="M46" i="22"/>
  <c r="J46" i="22"/>
  <c r="H46" i="22"/>
  <c r="F46" i="22"/>
  <c r="M45" i="22"/>
  <c r="J45" i="22"/>
  <c r="H45" i="22"/>
  <c r="F45" i="22"/>
  <c r="M44" i="22"/>
  <c r="J44" i="22"/>
  <c r="H44" i="22"/>
  <c r="F44" i="22"/>
  <c r="M43" i="22"/>
  <c r="J43" i="22"/>
  <c r="H43" i="22"/>
  <c r="F43" i="22"/>
  <c r="L41" i="22"/>
  <c r="M40" i="22"/>
  <c r="K40" i="22"/>
  <c r="I40" i="22"/>
  <c r="G40" i="22"/>
  <c r="A39" i="22"/>
  <c r="G36" i="22"/>
  <c r="F36" i="22"/>
  <c r="E36" i="22"/>
  <c r="D36" i="22"/>
  <c r="I35" i="22"/>
  <c r="G35" i="22"/>
  <c r="F35" i="22"/>
  <c r="E35" i="22"/>
  <c r="D35" i="22"/>
  <c r="M32" i="22"/>
  <c r="L32" i="22"/>
  <c r="K32" i="22"/>
  <c r="J32" i="22"/>
  <c r="I32" i="22"/>
  <c r="H32" i="22"/>
  <c r="G32" i="22"/>
  <c r="F32" i="22"/>
  <c r="E32" i="22"/>
  <c r="D32" i="22"/>
  <c r="K31" i="22"/>
  <c r="J31" i="22"/>
  <c r="I31" i="22"/>
  <c r="H31" i="22"/>
  <c r="G31" i="22"/>
  <c r="F31" i="22"/>
  <c r="E31" i="22"/>
  <c r="D31" i="22"/>
  <c r="K28" i="22"/>
  <c r="J28" i="22"/>
  <c r="I28" i="22"/>
  <c r="H28" i="22"/>
  <c r="G28" i="22"/>
  <c r="F28" i="22"/>
  <c r="D28" i="22"/>
  <c r="H25" i="22"/>
  <c r="G25" i="22"/>
  <c r="F25" i="22"/>
  <c r="E25" i="22"/>
  <c r="D25" i="22"/>
  <c r="I22" i="22"/>
  <c r="H22" i="22"/>
  <c r="G22" i="22"/>
  <c r="F22" i="22"/>
  <c r="E22" i="22"/>
  <c r="D22" i="22"/>
  <c r="I21" i="22"/>
  <c r="H21" i="22"/>
  <c r="G21" i="22"/>
  <c r="F21" i="22"/>
  <c r="E21" i="22"/>
  <c r="D21" i="22"/>
  <c r="H20" i="22"/>
  <c r="G20" i="22"/>
  <c r="F20" i="22"/>
  <c r="E20" i="22"/>
  <c r="F19" i="22"/>
  <c r="E19" i="22"/>
  <c r="D19" i="22"/>
  <c r="F18" i="22"/>
  <c r="E18" i="22"/>
  <c r="D18" i="22"/>
  <c r="G17" i="22"/>
  <c r="F17" i="22"/>
  <c r="E17" i="22"/>
  <c r="D17" i="22"/>
  <c r="Q16" i="22"/>
  <c r="Q15" i="22"/>
  <c r="M15" i="22"/>
  <c r="L15" i="22"/>
  <c r="K15" i="22"/>
  <c r="J15" i="22"/>
  <c r="I15" i="22"/>
  <c r="H15" i="22"/>
  <c r="G15" i="22"/>
  <c r="F15" i="22"/>
  <c r="E15" i="22"/>
  <c r="D15" i="22"/>
  <c r="Q14" i="22"/>
  <c r="M14" i="22"/>
  <c r="L14" i="22"/>
  <c r="K14" i="22"/>
  <c r="J14" i="22"/>
  <c r="I14" i="22"/>
  <c r="H14" i="22"/>
  <c r="G14" i="22"/>
  <c r="F14" i="22"/>
  <c r="E14" i="22"/>
  <c r="D14" i="22"/>
  <c r="Q13" i="22"/>
  <c r="M13" i="22"/>
  <c r="L13" i="22"/>
  <c r="K13" i="22"/>
  <c r="J13" i="22"/>
  <c r="I13" i="22"/>
  <c r="H13" i="22"/>
  <c r="G13" i="22"/>
  <c r="F13" i="22"/>
  <c r="E13" i="22"/>
  <c r="D13" i="22"/>
  <c r="Q12" i="22"/>
  <c r="Q11" i="22"/>
  <c r="Q10" i="22"/>
  <c r="Q9" i="22"/>
  <c r="Q8" i="22"/>
  <c r="L6" i="22" s="1"/>
  <c r="C1" i="22"/>
  <c r="L7" i="22" l="1"/>
  <c r="I5" i="22"/>
  <c r="J5" i="22"/>
  <c r="J7" i="22"/>
  <c r="C7" i="22"/>
  <c r="C5" i="22"/>
  <c r="I7" i="22"/>
  <c r="Q18" i="22"/>
  <c r="Q17" i="22"/>
  <c r="L5" i="22" l="1"/>
  <c r="M28" i="20" l="1"/>
  <c r="N28" i="20"/>
  <c r="O28" i="20"/>
  <c r="P28" i="20"/>
  <c r="Q28" i="20"/>
  <c r="R28" i="20"/>
  <c r="S28" i="20"/>
  <c r="T28" i="20"/>
  <c r="U28" i="20"/>
  <c r="M29" i="20"/>
  <c r="N29" i="20"/>
  <c r="O29" i="20"/>
  <c r="P29" i="20"/>
  <c r="Q29" i="20"/>
  <c r="R29" i="20"/>
  <c r="S29" i="20"/>
  <c r="T29" i="20"/>
  <c r="U29" i="20"/>
  <c r="M30" i="20"/>
  <c r="N30" i="20"/>
  <c r="O30" i="20"/>
  <c r="P30" i="20"/>
  <c r="Q30" i="20"/>
  <c r="R30" i="20"/>
  <c r="S30" i="20"/>
  <c r="T30" i="20"/>
  <c r="U30" i="20"/>
  <c r="V29" i="20"/>
  <c r="W29" i="20"/>
  <c r="X29" i="20"/>
  <c r="Y29" i="20"/>
  <c r="Z29" i="20"/>
  <c r="AA29" i="20"/>
  <c r="AB29" i="20"/>
  <c r="AC29" i="20"/>
  <c r="AD29" i="20"/>
  <c r="V30" i="20"/>
  <c r="W30" i="20"/>
  <c r="X30" i="20"/>
  <c r="Y30" i="20"/>
  <c r="Z30" i="20"/>
  <c r="AA30" i="20"/>
  <c r="AB30" i="20"/>
  <c r="AC30" i="20"/>
  <c r="AD30" i="20"/>
  <c r="AN30" i="20"/>
  <c r="AO30" i="20"/>
  <c r="AP30" i="20"/>
  <c r="AQ30" i="20"/>
  <c r="AR30" i="20"/>
  <c r="AS30" i="20"/>
  <c r="AT30" i="20"/>
  <c r="AU30" i="20"/>
  <c r="AV30" i="20"/>
  <c r="B8" i="7" l="1"/>
  <c r="B12" i="7" l="1"/>
  <c r="B7" i="7" l="1"/>
  <c r="B5" i="7"/>
  <c r="B6" i="7" l="1"/>
  <c r="B11" i="7"/>
  <c r="B10" i="7"/>
  <c r="C28" i="7" l="1"/>
  <c r="C14" i="7" l="1"/>
  <c r="C4" i="7"/>
  <c r="C21" i="7"/>
  <c r="N206" i="5" l="1"/>
  <c r="D205" i="5"/>
  <c r="B204" i="5"/>
  <c r="R204" i="5"/>
  <c r="P203" i="5"/>
  <c r="N202" i="5"/>
  <c r="D201" i="5"/>
  <c r="B200" i="5"/>
  <c r="Q199" i="5"/>
  <c r="Q206" i="5"/>
  <c r="M204" i="5"/>
  <c r="C203" i="5"/>
  <c r="L203" i="5" s="1"/>
  <c r="Q202" i="5"/>
  <c r="C199" i="5"/>
  <c r="L199" i="5" s="1"/>
  <c r="O206" i="5"/>
  <c r="M205" i="5"/>
  <c r="C204" i="5"/>
  <c r="L204" i="5" s="1"/>
  <c r="S204" i="5"/>
  <c r="Q203" i="5"/>
  <c r="O202" i="5"/>
  <c r="M201" i="5"/>
  <c r="C200" i="5"/>
  <c r="L200" i="5" s="1"/>
  <c r="S200" i="5"/>
  <c r="P206" i="5"/>
  <c r="N205" i="5"/>
  <c r="D204" i="5"/>
  <c r="B203" i="5"/>
  <c r="R203" i="5"/>
  <c r="P202" i="5"/>
  <c r="N201" i="5"/>
  <c r="D200" i="5"/>
  <c r="B199" i="5"/>
  <c r="B206" i="5"/>
  <c r="R206" i="5"/>
  <c r="P205" i="5"/>
  <c r="N204" i="5"/>
  <c r="D203" i="5"/>
  <c r="B202" i="5"/>
  <c r="R202" i="5"/>
  <c r="P201" i="5"/>
  <c r="N200" i="5"/>
  <c r="D199" i="5"/>
  <c r="M206" i="5"/>
  <c r="C205" i="5"/>
  <c r="L205" i="5" s="1"/>
  <c r="S205" i="5"/>
  <c r="Q204" i="5"/>
  <c r="O203" i="5"/>
  <c r="M202" i="5"/>
  <c r="C201" i="5"/>
  <c r="L201" i="5" s="1"/>
  <c r="S201" i="5"/>
  <c r="Q200" i="5"/>
  <c r="O199" i="5"/>
  <c r="R200" i="5"/>
  <c r="P199" i="5"/>
  <c r="R199" i="5"/>
  <c r="O205" i="5"/>
  <c r="S203" i="5"/>
  <c r="O201" i="5"/>
  <c r="S199" i="5"/>
  <c r="C206" i="5"/>
  <c r="L206" i="5" s="1"/>
  <c r="S206" i="5"/>
  <c r="Q205" i="5"/>
  <c r="O204" i="5"/>
  <c r="M203" i="5"/>
  <c r="C202" i="5"/>
  <c r="L202" i="5" s="1"/>
  <c r="S202" i="5"/>
  <c r="Q201" i="5"/>
  <c r="O200" i="5"/>
  <c r="M199" i="5"/>
  <c r="M200" i="5"/>
  <c r="D206" i="5"/>
  <c r="B205" i="5"/>
  <c r="R205" i="5"/>
  <c r="P204" i="5"/>
  <c r="N203" i="5"/>
  <c r="D202" i="5"/>
  <c r="B201" i="5"/>
  <c r="R201" i="5"/>
  <c r="P200" i="5"/>
  <c r="N199" i="5"/>
  <c r="D198" i="5"/>
  <c r="B197" i="5"/>
  <c r="R197" i="5"/>
  <c r="C197" i="5"/>
  <c r="L197" i="5" s="1"/>
  <c r="S197" i="5"/>
  <c r="C198" i="5"/>
  <c r="L198" i="5" s="1"/>
  <c r="M198" i="5"/>
  <c r="Q197" i="5"/>
  <c r="N198" i="5"/>
  <c r="D197" i="5"/>
  <c r="O198" i="5"/>
  <c r="M197" i="5"/>
  <c r="P198" i="5"/>
  <c r="N197" i="5"/>
  <c r="O197" i="5"/>
  <c r="B198" i="5"/>
  <c r="P197" i="5"/>
  <c r="Q198" i="5"/>
  <c r="R198" i="5"/>
  <c r="S198" i="5"/>
  <c r="B184" i="5"/>
  <c r="M183" i="5"/>
  <c r="P182" i="5"/>
  <c r="R184" i="5"/>
  <c r="M184" i="5"/>
  <c r="P183" i="5"/>
  <c r="Q183" i="5"/>
  <c r="R182" i="5"/>
  <c r="R183" i="5"/>
  <c r="C182" i="5"/>
  <c r="L182" i="5" s="1"/>
  <c r="S182" i="5"/>
  <c r="D184" i="5"/>
  <c r="O184" i="5"/>
  <c r="C183" i="5"/>
  <c r="L183" i="5" s="1"/>
  <c r="N182" i="5"/>
  <c r="P184" i="5"/>
  <c r="S183" i="5"/>
  <c r="Q182" i="5"/>
  <c r="D182" i="5"/>
  <c r="B182" i="5"/>
  <c r="M182" i="5"/>
  <c r="C184" i="5"/>
  <c r="L184" i="5" s="1"/>
  <c r="N183" i="5"/>
  <c r="S184" i="5"/>
  <c r="N184" i="5"/>
  <c r="O183" i="5"/>
  <c r="D183" i="5"/>
  <c r="O182" i="5"/>
  <c r="Q184" i="5"/>
  <c r="B183" i="5"/>
  <c r="D181" i="5"/>
  <c r="M181" i="5"/>
  <c r="N181" i="5"/>
  <c r="P181" i="5"/>
  <c r="Q181" i="5"/>
  <c r="B181" i="5"/>
  <c r="S181" i="5"/>
  <c r="O181" i="5"/>
  <c r="R181" i="5"/>
  <c r="C181" i="5"/>
  <c r="L181" i="5" s="1"/>
  <c r="C179" i="5"/>
  <c r="L179" i="5" s="1"/>
  <c r="O179" i="5"/>
  <c r="S179" i="5"/>
  <c r="S180" i="5"/>
  <c r="C180" i="5"/>
  <c r="L180" i="5" s="1"/>
  <c r="O180" i="5"/>
  <c r="N180" i="5"/>
  <c r="D179" i="5"/>
  <c r="P179" i="5"/>
  <c r="P180" i="5"/>
  <c r="M179" i="5"/>
  <c r="Q179" i="5"/>
  <c r="B179" i="5"/>
  <c r="R179" i="5"/>
  <c r="D180" i="5"/>
  <c r="N179" i="5"/>
  <c r="R180" i="5"/>
  <c r="M180" i="5"/>
  <c r="Q180" i="5"/>
  <c r="B180" i="5"/>
  <c r="D178" i="5"/>
  <c r="B175" i="5"/>
  <c r="D177" i="5"/>
  <c r="O176" i="5"/>
  <c r="R175" i="5"/>
  <c r="M178" i="5"/>
  <c r="B176" i="5"/>
  <c r="M175" i="5"/>
  <c r="O177" i="5"/>
  <c r="R176" i="5"/>
  <c r="N177" i="5"/>
  <c r="C178" i="5"/>
  <c r="L178" i="5" s="1"/>
  <c r="O175" i="5"/>
  <c r="N178" i="5"/>
  <c r="B177" i="5"/>
  <c r="M176" i="5"/>
  <c r="P175" i="5"/>
  <c r="R177" i="5"/>
  <c r="S175" i="5"/>
  <c r="C176" i="5"/>
  <c r="L176" i="5" s="1"/>
  <c r="P177" i="5"/>
  <c r="Q178" i="5"/>
  <c r="N176" i="5"/>
  <c r="S177" i="5"/>
  <c r="R178" i="5"/>
  <c r="Q176" i="5"/>
  <c r="D176" i="5"/>
  <c r="Q177" i="5"/>
  <c r="O178" i="5"/>
  <c r="C175" i="5"/>
  <c r="L175" i="5" s="1"/>
  <c r="M177" i="5"/>
  <c r="P176" i="5"/>
  <c r="P178" i="5"/>
  <c r="N175" i="5"/>
  <c r="S176" i="5"/>
  <c r="C177" i="5"/>
  <c r="L177" i="5" s="1"/>
  <c r="Q175" i="5"/>
  <c r="B178" i="5"/>
  <c r="D175" i="5"/>
  <c r="S178" i="5"/>
  <c r="B174" i="5"/>
  <c r="P174" i="5"/>
  <c r="R170" i="5"/>
  <c r="O173" i="5"/>
  <c r="N171" i="5"/>
  <c r="O171" i="5"/>
  <c r="Q172" i="5"/>
  <c r="N172" i="5"/>
  <c r="D165" i="5"/>
  <c r="S160" i="5"/>
  <c r="S168" i="5"/>
  <c r="C161" i="5"/>
  <c r="L161" i="5" s="1"/>
  <c r="N167" i="5"/>
  <c r="B162" i="5"/>
  <c r="C167" i="5"/>
  <c r="L167" i="5" s="1"/>
  <c r="O164" i="5"/>
  <c r="R165" i="5"/>
  <c r="B160" i="5"/>
  <c r="P163" i="5"/>
  <c r="Q159" i="5"/>
  <c r="C159" i="5"/>
  <c r="L159" i="5" s="1"/>
  <c r="O152" i="5"/>
  <c r="Q146" i="5"/>
  <c r="Q79" i="5"/>
  <c r="N15" i="5"/>
  <c r="Q38" i="5"/>
  <c r="R72" i="5"/>
  <c r="Q105" i="5"/>
  <c r="O119" i="5"/>
  <c r="D128" i="5"/>
  <c r="N6" i="5"/>
  <c r="R156" i="5"/>
  <c r="O150" i="5"/>
  <c r="Q144" i="5"/>
  <c r="S6" i="5"/>
  <c r="Q108" i="5"/>
  <c r="M73" i="5"/>
  <c r="N90" i="5"/>
  <c r="O130" i="5"/>
  <c r="D138" i="5"/>
  <c r="R123" i="5"/>
  <c r="Q101" i="5"/>
  <c r="M153" i="5"/>
  <c r="P147" i="5"/>
  <c r="N142" i="5"/>
  <c r="C74" i="5"/>
  <c r="L74" i="5" s="1"/>
  <c r="S80" i="5"/>
  <c r="Q93" i="5"/>
  <c r="C58" i="5"/>
  <c r="L58" i="5" s="1"/>
  <c r="D86" i="5"/>
  <c r="D11" i="5"/>
  <c r="N109" i="5"/>
  <c r="P157" i="5"/>
  <c r="P152" i="5"/>
  <c r="S147" i="5"/>
  <c r="Q139" i="5"/>
  <c r="O115" i="5"/>
  <c r="D40" i="5"/>
  <c r="S123" i="5"/>
  <c r="R47" i="5"/>
  <c r="C48" i="5"/>
  <c r="L48" i="5" s="1"/>
  <c r="N81" i="5"/>
  <c r="C126" i="5"/>
  <c r="L126" i="5" s="1"/>
  <c r="Q158" i="5"/>
  <c r="D146" i="5"/>
  <c r="Q141" i="5"/>
  <c r="S71" i="5"/>
  <c r="N111" i="5"/>
  <c r="O74" i="5"/>
  <c r="R128" i="5"/>
  <c r="S68" i="5"/>
  <c r="C118" i="5"/>
  <c r="L118" i="5" s="1"/>
  <c r="B121" i="5"/>
  <c r="D113" i="5"/>
  <c r="N154" i="5"/>
  <c r="R148" i="5"/>
  <c r="Q41" i="5"/>
  <c r="D100" i="5"/>
  <c r="M155" i="5"/>
  <c r="B32" i="5"/>
  <c r="R131" i="5"/>
  <c r="S116" i="5"/>
  <c r="S55" i="5"/>
  <c r="D109" i="5"/>
  <c r="C109" i="5"/>
  <c r="L109" i="5" s="1"/>
  <c r="C174" i="5"/>
  <c r="L174" i="5" s="1"/>
  <c r="Q174" i="5"/>
  <c r="D173" i="5"/>
  <c r="B2" i="5"/>
  <c r="R171" i="5"/>
  <c r="M169" i="5"/>
  <c r="S173" i="5"/>
  <c r="O172" i="5"/>
  <c r="P165" i="5"/>
  <c r="B159" i="5"/>
  <c r="Q167" i="5"/>
  <c r="O161" i="5"/>
  <c r="D162" i="5"/>
  <c r="N162" i="5"/>
  <c r="S167" i="5"/>
  <c r="Q161" i="5"/>
  <c r="N164" i="5"/>
  <c r="Q168" i="5"/>
  <c r="B161" i="5"/>
  <c r="R159" i="5"/>
  <c r="B158" i="5"/>
  <c r="P153" i="5"/>
  <c r="R147" i="5"/>
  <c r="C32" i="5"/>
  <c r="L32" i="5" s="1"/>
  <c r="M123" i="5"/>
  <c r="C23" i="5"/>
  <c r="L23" i="5" s="1"/>
  <c r="R77" i="5"/>
  <c r="M9" i="5"/>
  <c r="O50" i="5"/>
  <c r="S5" i="5"/>
  <c r="D45" i="5"/>
  <c r="R157" i="5"/>
  <c r="D150" i="5"/>
  <c r="N140" i="5"/>
  <c r="O47" i="5"/>
  <c r="B69" i="5"/>
  <c r="N138" i="5"/>
  <c r="B134" i="5"/>
  <c r="O61" i="5"/>
  <c r="B49" i="5"/>
  <c r="P78" i="5"/>
  <c r="N78" i="5"/>
  <c r="R152" i="5"/>
  <c r="P144" i="5"/>
  <c r="P142" i="5"/>
  <c r="M59" i="5"/>
  <c r="Q84" i="5"/>
  <c r="O60" i="5"/>
  <c r="S36" i="5"/>
  <c r="O48" i="5"/>
  <c r="N60" i="5"/>
  <c r="Q15" i="5"/>
  <c r="O157" i="5"/>
  <c r="B150" i="5"/>
  <c r="D148" i="5"/>
  <c r="D87" i="5"/>
  <c r="D107" i="5"/>
  <c r="Q57" i="5"/>
  <c r="C102" i="5"/>
  <c r="L102" i="5" s="1"/>
  <c r="P113" i="5"/>
  <c r="O51" i="5"/>
  <c r="P119" i="5"/>
  <c r="P52" i="5"/>
  <c r="N155" i="5"/>
  <c r="C147" i="5"/>
  <c r="L147" i="5" s="1"/>
  <c r="C141" i="5"/>
  <c r="L141" i="5" s="1"/>
  <c r="C116" i="5"/>
  <c r="L116" i="5" s="1"/>
  <c r="N120" i="5"/>
  <c r="P111" i="5"/>
  <c r="B97" i="5"/>
  <c r="Q67" i="5"/>
  <c r="S37" i="5"/>
  <c r="S19" i="5"/>
  <c r="R85" i="5"/>
  <c r="C153" i="5"/>
  <c r="L153" i="5" s="1"/>
  <c r="D143" i="5"/>
  <c r="N112" i="5"/>
  <c r="D53" i="5"/>
  <c r="D153" i="5"/>
  <c r="P120" i="5"/>
  <c r="R118" i="5"/>
  <c r="D68" i="5"/>
  <c r="O14" i="5"/>
  <c r="O110" i="5"/>
  <c r="Q28" i="5"/>
  <c r="D174" i="5"/>
  <c r="N173" i="5"/>
  <c r="P173" i="5"/>
  <c r="M172" i="5"/>
  <c r="D169" i="5"/>
  <c r="Q169" i="5"/>
  <c r="D170" i="5"/>
  <c r="Q170" i="5"/>
  <c r="B164" i="5"/>
  <c r="P161" i="5"/>
  <c r="D166" i="5"/>
  <c r="S161" i="5"/>
  <c r="D168" i="5"/>
  <c r="R162" i="5"/>
  <c r="M166" i="5"/>
  <c r="O165" i="5"/>
  <c r="C162" i="5"/>
  <c r="L162" i="5" s="1"/>
  <c r="O167" i="5"/>
  <c r="N161" i="5"/>
  <c r="P159" i="5"/>
  <c r="Q156" i="5"/>
  <c r="S151" i="5"/>
  <c r="Q147" i="5"/>
  <c r="C27" i="5"/>
  <c r="L27" i="5" s="1"/>
  <c r="D20" i="5"/>
  <c r="R35" i="5"/>
  <c r="D25" i="5"/>
  <c r="P130" i="5"/>
  <c r="M131" i="5"/>
  <c r="D85" i="5"/>
  <c r="P30" i="5"/>
  <c r="Q155" i="5"/>
  <c r="P143" i="5"/>
  <c r="B141" i="5"/>
  <c r="M89" i="5"/>
  <c r="Q78" i="5"/>
  <c r="N49" i="5"/>
  <c r="B65" i="5"/>
  <c r="P80" i="5"/>
  <c r="C45" i="5"/>
  <c r="L45" i="5" s="1"/>
  <c r="P82" i="5"/>
  <c r="C108" i="5"/>
  <c r="L108" i="5" s="1"/>
  <c r="O153" i="5"/>
  <c r="B143" i="5"/>
  <c r="B38" i="5"/>
  <c r="O68" i="5"/>
  <c r="Q74" i="5"/>
  <c r="R102" i="5"/>
  <c r="M28" i="5"/>
  <c r="O103" i="5"/>
  <c r="R97" i="5"/>
  <c r="N50" i="5"/>
  <c r="O156" i="5"/>
  <c r="M150" i="5"/>
  <c r="C146" i="5"/>
  <c r="L146" i="5" s="1"/>
  <c r="N13" i="5"/>
  <c r="N87" i="5"/>
  <c r="S121" i="5"/>
  <c r="D73" i="5"/>
  <c r="B57" i="5"/>
  <c r="M78" i="5"/>
  <c r="P74" i="5"/>
  <c r="Q68" i="5"/>
  <c r="R153" i="5"/>
  <c r="Q143" i="5"/>
  <c r="R140" i="5"/>
  <c r="N9" i="5"/>
  <c r="S115" i="5"/>
  <c r="O8" i="5"/>
  <c r="D4" i="5"/>
  <c r="Q117" i="5"/>
  <c r="P118" i="5"/>
  <c r="M27" i="5"/>
  <c r="S158" i="5"/>
  <c r="B151" i="5"/>
  <c r="S148" i="5"/>
  <c r="R28" i="5"/>
  <c r="M84" i="5"/>
  <c r="S146" i="5"/>
  <c r="Q53" i="5"/>
  <c r="D125" i="5"/>
  <c r="B22" i="5"/>
  <c r="B93" i="5"/>
  <c r="S56" i="5"/>
  <c r="D75" i="5"/>
  <c r="M174" i="5"/>
  <c r="Q173" i="5"/>
  <c r="M171" i="5"/>
  <c r="C170" i="5"/>
  <c r="L170" i="5" s="1"/>
  <c r="P169" i="5"/>
  <c r="C172" i="5"/>
  <c r="L172" i="5" s="1"/>
  <c r="C173" i="5"/>
  <c r="L173" i="5" s="1"/>
  <c r="P171" i="5"/>
  <c r="R164" i="5"/>
  <c r="Q160" i="5"/>
  <c r="P166" i="5"/>
  <c r="D160" i="5"/>
  <c r="B167" i="5"/>
  <c r="P160" i="5"/>
  <c r="Q166" i="5"/>
  <c r="N160" i="5"/>
  <c r="O162" i="5"/>
  <c r="C166" i="5"/>
  <c r="L166" i="5" s="1"/>
  <c r="R161" i="5"/>
  <c r="O159" i="5"/>
  <c r="N156" i="5"/>
  <c r="O151" i="5"/>
  <c r="O148" i="5"/>
  <c r="Q134" i="5"/>
  <c r="D12" i="5"/>
  <c r="S101" i="5"/>
  <c r="M3" i="5"/>
  <c r="N55" i="5"/>
  <c r="P94" i="5"/>
  <c r="P61" i="5"/>
  <c r="D115" i="5"/>
  <c r="S154" i="5"/>
  <c r="D147" i="5"/>
  <c r="Q142" i="5"/>
  <c r="D103" i="5"/>
  <c r="D112" i="5"/>
  <c r="C20" i="5"/>
  <c r="L20" i="5" s="1"/>
  <c r="C76" i="5"/>
  <c r="L76" i="5" s="1"/>
  <c r="S8" i="5"/>
  <c r="P29" i="5"/>
  <c r="M42" i="5"/>
  <c r="R158" i="5"/>
  <c r="D152" i="5"/>
  <c r="N143" i="5"/>
  <c r="S22" i="5"/>
  <c r="Q21" i="5"/>
  <c r="B27" i="5"/>
  <c r="R65" i="5"/>
  <c r="B68" i="5"/>
  <c r="P64" i="5"/>
  <c r="S104" i="5"/>
  <c r="M105" i="5"/>
  <c r="S156" i="5"/>
  <c r="R149" i="5"/>
  <c r="C142" i="5"/>
  <c r="L142" i="5" s="1"/>
  <c r="C61" i="5"/>
  <c r="L61" i="5" s="1"/>
  <c r="B14" i="5"/>
  <c r="B15" i="5"/>
  <c r="D41" i="5"/>
  <c r="B101" i="5"/>
  <c r="D47" i="5"/>
  <c r="Q72" i="5"/>
  <c r="P5" i="5"/>
  <c r="M152" i="5"/>
  <c r="B148" i="5"/>
  <c r="P21" i="5"/>
  <c r="S129" i="5"/>
  <c r="Q119" i="5"/>
  <c r="B77" i="5"/>
  <c r="R111" i="5"/>
  <c r="M116" i="5"/>
  <c r="N118" i="5"/>
  <c r="N135" i="5"/>
  <c r="M158" i="5"/>
  <c r="M151" i="5"/>
  <c r="M143" i="5"/>
  <c r="N102" i="5"/>
  <c r="M21" i="5"/>
  <c r="M149" i="5"/>
  <c r="C75" i="5"/>
  <c r="L75" i="5" s="1"/>
  <c r="P102" i="5"/>
  <c r="R52" i="5"/>
  <c r="P109" i="5"/>
  <c r="D37" i="5"/>
  <c r="D76" i="5"/>
  <c r="N174" i="5"/>
  <c r="P172" i="5"/>
  <c r="C169" i="5"/>
  <c r="L169" i="5" s="1"/>
  <c r="S170" i="5"/>
  <c r="R172" i="5"/>
  <c r="R173" i="5"/>
  <c r="B173" i="5"/>
  <c r="B168" i="5"/>
  <c r="Q162" i="5"/>
  <c r="P168" i="5"/>
  <c r="S164" i="5"/>
  <c r="S162" i="5"/>
  <c r="M165" i="5"/>
  <c r="M167" i="5"/>
  <c r="B163" i="5"/>
  <c r="D167" i="5"/>
  <c r="N166" i="5"/>
  <c r="S166" i="5"/>
  <c r="M161" i="5"/>
  <c r="S159" i="5"/>
  <c r="S155" i="5"/>
  <c r="R144" i="5"/>
  <c r="D142" i="5"/>
  <c r="P98" i="5"/>
  <c r="Q69" i="5"/>
  <c r="B138" i="5"/>
  <c r="Q70" i="5"/>
  <c r="D93" i="5"/>
  <c r="N74" i="5"/>
  <c r="M109" i="5"/>
  <c r="O129" i="5"/>
  <c r="S152" i="5"/>
  <c r="D144" i="5"/>
  <c r="C128" i="5"/>
  <c r="L128" i="5" s="1"/>
  <c r="M68" i="5"/>
  <c r="S100" i="5"/>
  <c r="N114" i="5"/>
  <c r="Q124" i="5"/>
  <c r="C68" i="5"/>
  <c r="L68" i="5" s="1"/>
  <c r="B58" i="5"/>
  <c r="B45" i="5"/>
  <c r="C157" i="5"/>
  <c r="L157" i="5" s="1"/>
  <c r="C150" i="5"/>
  <c r="L150" i="5" s="1"/>
  <c r="R146" i="5"/>
  <c r="P70" i="5"/>
  <c r="Q14" i="5"/>
  <c r="B109" i="5"/>
  <c r="P121" i="5"/>
  <c r="S7" i="5"/>
  <c r="C77" i="5"/>
  <c r="L77" i="5" s="1"/>
  <c r="B126" i="5"/>
  <c r="C4" i="5"/>
  <c r="L4" i="5" s="1"/>
  <c r="Q153" i="5"/>
  <c r="C144" i="5"/>
  <c r="L144" i="5" s="1"/>
  <c r="D141" i="5"/>
  <c r="Q31" i="5"/>
  <c r="O22" i="5"/>
  <c r="P67" i="5"/>
  <c r="P11" i="5"/>
  <c r="P71" i="5"/>
  <c r="S40" i="5"/>
  <c r="D99" i="5"/>
  <c r="D158" i="5"/>
  <c r="R154" i="5"/>
  <c r="C148" i="5"/>
  <c r="L148" i="5" s="1"/>
  <c r="P3" i="5"/>
  <c r="Q60" i="5"/>
  <c r="N47" i="5"/>
  <c r="B7" i="5"/>
  <c r="P46" i="5"/>
  <c r="P63" i="5"/>
  <c r="Q99" i="5"/>
  <c r="S131" i="5"/>
  <c r="B155" i="5"/>
  <c r="P146" i="5"/>
  <c r="O140" i="5"/>
  <c r="P2" i="5"/>
  <c r="O28" i="5"/>
  <c r="R6" i="5"/>
  <c r="B107" i="5"/>
  <c r="S136" i="5"/>
  <c r="C105" i="5"/>
  <c r="L105" i="5" s="1"/>
  <c r="O42" i="5"/>
  <c r="O102" i="5"/>
  <c r="M82" i="5"/>
  <c r="S174" i="5"/>
  <c r="S169" i="5"/>
  <c r="D171" i="5"/>
  <c r="M162" i="5"/>
  <c r="Q163" i="5"/>
  <c r="S165" i="5"/>
  <c r="M160" i="5"/>
  <c r="R160" i="5"/>
  <c r="Q148" i="5"/>
  <c r="B118" i="5"/>
  <c r="D84" i="5"/>
  <c r="M139" i="5"/>
  <c r="O144" i="5"/>
  <c r="O78" i="5"/>
  <c r="S89" i="5"/>
  <c r="S47" i="5"/>
  <c r="M148" i="5"/>
  <c r="N61" i="5"/>
  <c r="P24" i="5"/>
  <c r="Q20" i="5"/>
  <c r="O147" i="5"/>
  <c r="C51" i="5"/>
  <c r="L51" i="5" s="1"/>
  <c r="R117" i="5"/>
  <c r="Q30" i="5"/>
  <c r="B146" i="5"/>
  <c r="O117" i="5"/>
  <c r="S13" i="5"/>
  <c r="P9" i="5"/>
  <c r="N149" i="5"/>
  <c r="R121" i="5"/>
  <c r="P123" i="5"/>
  <c r="M136" i="5"/>
  <c r="O58" i="5"/>
  <c r="Q133" i="5"/>
  <c r="N115" i="5"/>
  <c r="C151" i="5"/>
  <c r="L151" i="5" s="1"/>
  <c r="D66" i="5"/>
  <c r="C37" i="5"/>
  <c r="L37" i="5" s="1"/>
  <c r="C12" i="5"/>
  <c r="L12" i="5" s="1"/>
  <c r="S97" i="5"/>
  <c r="M115" i="5"/>
  <c r="C97" i="5"/>
  <c r="L97" i="5" s="1"/>
  <c r="D72" i="5"/>
  <c r="N133" i="5"/>
  <c r="B50" i="5"/>
  <c r="S52" i="5"/>
  <c r="N144" i="5"/>
  <c r="D52" i="5"/>
  <c r="O77" i="5"/>
  <c r="D116" i="5"/>
  <c r="D154" i="5"/>
  <c r="O82" i="5"/>
  <c r="D58" i="5"/>
  <c r="C15" i="5"/>
  <c r="L15" i="5" s="1"/>
  <c r="Q77" i="5"/>
  <c r="Q55" i="5"/>
  <c r="Q73" i="5"/>
  <c r="D65" i="5"/>
  <c r="M121" i="5"/>
  <c r="B28" i="5"/>
  <c r="P65" i="5"/>
  <c r="Q107" i="5"/>
  <c r="R41" i="5"/>
  <c r="P103" i="5"/>
  <c r="R36" i="5"/>
  <c r="O69" i="5"/>
  <c r="B99" i="5"/>
  <c r="B13" i="5"/>
  <c r="Q131" i="5"/>
  <c r="B79" i="5"/>
  <c r="N68" i="5"/>
  <c r="P158" i="5"/>
  <c r="B4" i="5"/>
  <c r="C41" i="5"/>
  <c r="L41" i="5" s="1"/>
  <c r="D63" i="5"/>
  <c r="R107" i="5"/>
  <c r="N77" i="5"/>
  <c r="D32" i="5"/>
  <c r="C124" i="5"/>
  <c r="L124" i="5" s="1"/>
  <c r="R33" i="5"/>
  <c r="C113" i="5"/>
  <c r="L113" i="5" s="1"/>
  <c r="P58" i="5"/>
  <c r="R56" i="5"/>
  <c r="P49" i="5"/>
  <c r="M74" i="5"/>
  <c r="N119" i="5"/>
  <c r="P23" i="5"/>
  <c r="M77" i="5"/>
  <c r="D133" i="5"/>
  <c r="C63" i="5"/>
  <c r="L63" i="5" s="1"/>
  <c r="B47" i="5"/>
  <c r="S88" i="5"/>
  <c r="B115" i="5"/>
  <c r="B72" i="5"/>
  <c r="D43" i="5"/>
  <c r="S60" i="5"/>
  <c r="M4" i="5"/>
  <c r="R174" i="5"/>
  <c r="O170" i="5"/>
  <c r="N169" i="5"/>
  <c r="C160" i="5"/>
  <c r="L160" i="5" s="1"/>
  <c r="N163" i="5"/>
  <c r="M168" i="5"/>
  <c r="S163" i="5"/>
  <c r="M159" i="5"/>
  <c r="O149" i="5"/>
  <c r="R10" i="5"/>
  <c r="Q130" i="5"/>
  <c r="D61" i="5"/>
  <c r="N148" i="5"/>
  <c r="S98" i="5"/>
  <c r="M85" i="5"/>
  <c r="D36" i="5"/>
  <c r="C143" i="5"/>
  <c r="L143" i="5" s="1"/>
  <c r="D106" i="5"/>
  <c r="C139" i="5"/>
  <c r="L139" i="5" s="1"/>
  <c r="O79" i="5"/>
  <c r="R143" i="5"/>
  <c r="S86" i="5"/>
  <c r="R73" i="5"/>
  <c r="N70" i="5"/>
  <c r="B147" i="5"/>
  <c r="R112" i="5"/>
  <c r="C33" i="5"/>
  <c r="L33" i="5" s="1"/>
  <c r="M132" i="5"/>
  <c r="B142" i="5"/>
  <c r="S157" i="5"/>
  <c r="M103" i="5"/>
  <c r="M135" i="5"/>
  <c r="N107" i="5"/>
  <c r="M90" i="5"/>
  <c r="C39" i="5"/>
  <c r="L39" i="5" s="1"/>
  <c r="S149" i="5"/>
  <c r="Q113" i="5"/>
  <c r="R61" i="5"/>
  <c r="M54" i="5"/>
  <c r="S124" i="5"/>
  <c r="M102" i="5"/>
  <c r="C53" i="5"/>
  <c r="L53" i="5" s="1"/>
  <c r="S49" i="5"/>
  <c r="M26" i="5"/>
  <c r="B100" i="5"/>
  <c r="S92" i="5"/>
  <c r="B140" i="5"/>
  <c r="S74" i="5"/>
  <c r="S57" i="5"/>
  <c r="C62" i="5"/>
  <c r="L62" i="5" s="1"/>
  <c r="R151" i="5"/>
  <c r="S132" i="5"/>
  <c r="Q35" i="5"/>
  <c r="R129" i="5"/>
  <c r="S23" i="5"/>
  <c r="M13" i="5"/>
  <c r="C43" i="5"/>
  <c r="L43" i="5" s="1"/>
  <c r="O5" i="5"/>
  <c r="C131" i="5"/>
  <c r="L131" i="5" s="1"/>
  <c r="S64" i="5"/>
  <c r="C65" i="5"/>
  <c r="L65" i="5" s="1"/>
  <c r="S44" i="5"/>
  <c r="O57" i="5"/>
  <c r="P112" i="5"/>
  <c r="R40" i="5"/>
  <c r="R11" i="5"/>
  <c r="P84" i="5"/>
  <c r="C83" i="5"/>
  <c r="L83" i="5" s="1"/>
  <c r="Q112" i="5"/>
  <c r="C107" i="5"/>
  <c r="L107" i="5" s="1"/>
  <c r="O73" i="5"/>
  <c r="B144" i="5"/>
  <c r="M108" i="5"/>
  <c r="C93" i="5"/>
  <c r="L93" i="5" s="1"/>
  <c r="R67" i="5"/>
  <c r="S111" i="5"/>
  <c r="R51" i="5"/>
  <c r="O126" i="5"/>
  <c r="R53" i="5"/>
  <c r="C111" i="5"/>
  <c r="L111" i="5" s="1"/>
  <c r="S30" i="5"/>
  <c r="P85" i="5"/>
  <c r="M15" i="5"/>
  <c r="M81" i="5"/>
  <c r="R83" i="5"/>
  <c r="M44" i="5"/>
  <c r="D55" i="5"/>
  <c r="B52" i="5"/>
  <c r="Q52" i="5"/>
  <c r="P69" i="5"/>
  <c r="S106" i="5"/>
  <c r="M119" i="5"/>
  <c r="M61" i="5"/>
  <c r="O6" i="5"/>
  <c r="Q87" i="5"/>
  <c r="O174" i="5"/>
  <c r="M173" i="5"/>
  <c r="S171" i="5"/>
  <c r="O160" i="5"/>
  <c r="B166" i="5"/>
  <c r="M164" i="5"/>
  <c r="C165" i="5"/>
  <c r="L165" i="5" s="1"/>
  <c r="D159" i="5"/>
  <c r="P141" i="5"/>
  <c r="R59" i="5"/>
  <c r="O65" i="5"/>
  <c r="B67" i="5"/>
  <c r="M144" i="5"/>
  <c r="S112" i="5"/>
  <c r="B54" i="5"/>
  <c r="O31" i="5"/>
  <c r="O141" i="5"/>
  <c r="C117" i="5"/>
  <c r="L117" i="5" s="1"/>
  <c r="P92" i="5"/>
  <c r="R4" i="5"/>
  <c r="P140" i="5"/>
  <c r="O39" i="5"/>
  <c r="P39" i="5"/>
  <c r="B44" i="5"/>
  <c r="O143" i="5"/>
  <c r="C64" i="5"/>
  <c r="L64" i="5" s="1"/>
  <c r="D21" i="5"/>
  <c r="S59" i="5"/>
  <c r="S141" i="5"/>
  <c r="M142" i="5"/>
  <c r="N128" i="5"/>
  <c r="R29" i="5"/>
  <c r="O135" i="5"/>
  <c r="R63" i="5"/>
  <c r="Q109" i="5"/>
  <c r="M147" i="5"/>
  <c r="N113" i="5"/>
  <c r="Q103" i="5"/>
  <c r="D33" i="5"/>
  <c r="B133" i="5"/>
  <c r="C135" i="5"/>
  <c r="L135" i="5" s="1"/>
  <c r="Q89" i="5"/>
  <c r="M6" i="5"/>
  <c r="B12" i="5"/>
  <c r="B43" i="5"/>
  <c r="S50" i="5"/>
  <c r="S38" i="5"/>
  <c r="O132" i="5"/>
  <c r="S70" i="5"/>
  <c r="O11" i="5"/>
  <c r="N146" i="5"/>
  <c r="M48" i="5"/>
  <c r="R101" i="5"/>
  <c r="B6" i="5"/>
  <c r="O136" i="5"/>
  <c r="Q49" i="5"/>
  <c r="S63" i="5"/>
  <c r="O43" i="5"/>
  <c r="R105" i="5"/>
  <c r="C13" i="5"/>
  <c r="L13" i="5" s="1"/>
  <c r="P60" i="5"/>
  <c r="D139" i="5"/>
  <c r="D15" i="5"/>
  <c r="N123" i="5"/>
  <c r="D6" i="5"/>
  <c r="B78" i="5"/>
  <c r="O87" i="5"/>
  <c r="R89" i="5"/>
  <c r="R79" i="5"/>
  <c r="Q64" i="5"/>
  <c r="D13" i="5"/>
  <c r="Q39" i="5"/>
  <c r="S130" i="5"/>
  <c r="P33" i="5"/>
  <c r="N28" i="5"/>
  <c r="B132" i="5"/>
  <c r="P15" i="5"/>
  <c r="S51" i="5"/>
  <c r="R8" i="5"/>
  <c r="P108" i="5"/>
  <c r="N136" i="5"/>
  <c r="O56" i="5"/>
  <c r="R81" i="5"/>
  <c r="P25" i="5"/>
  <c r="O106" i="5"/>
  <c r="M14" i="5"/>
  <c r="C7" i="5"/>
  <c r="M65" i="5"/>
  <c r="B23" i="5"/>
  <c r="P107" i="5"/>
  <c r="B21" i="5"/>
  <c r="B3" i="5"/>
  <c r="P145" i="5"/>
  <c r="O104" i="5"/>
  <c r="D46" i="5"/>
  <c r="N170" i="5"/>
  <c r="P170" i="5"/>
  <c r="R169" i="5"/>
  <c r="C168" i="5"/>
  <c r="L168" i="5" s="1"/>
  <c r="Q165" i="5"/>
  <c r="N168" i="5"/>
  <c r="D163" i="5"/>
  <c r="C154" i="5"/>
  <c r="L154" i="5" s="1"/>
  <c r="S139" i="5"/>
  <c r="C24" i="5"/>
  <c r="L24" i="5" s="1"/>
  <c r="N99" i="5"/>
  <c r="N152" i="5"/>
  <c r="O128" i="5"/>
  <c r="S67" i="5"/>
  <c r="B26" i="5"/>
  <c r="C155" i="5"/>
  <c r="L155" i="5" s="1"/>
  <c r="Q114" i="5"/>
  <c r="Q2" i="5"/>
  <c r="D57" i="5"/>
  <c r="M154" i="5"/>
  <c r="P53" i="5"/>
  <c r="D14" i="5"/>
  <c r="N14" i="5"/>
  <c r="O154" i="5"/>
  <c r="M80" i="5"/>
  <c r="B74" i="5"/>
  <c r="Q66" i="5"/>
  <c r="Q152" i="5"/>
  <c r="S118" i="5"/>
  <c r="R126" i="5"/>
  <c r="B46" i="5"/>
  <c r="O118" i="5"/>
  <c r="C89" i="5"/>
  <c r="L89" i="5" s="1"/>
  <c r="P43" i="5"/>
  <c r="O29" i="5"/>
  <c r="B31" i="5"/>
  <c r="S18" i="5"/>
  <c r="R32" i="5"/>
  <c r="C115" i="5"/>
  <c r="L115" i="5" s="1"/>
  <c r="S25" i="5"/>
  <c r="B5" i="5"/>
  <c r="O55" i="5"/>
  <c r="P104" i="5"/>
  <c r="Q6" i="5"/>
  <c r="D23" i="5"/>
  <c r="B153" i="5"/>
  <c r="C122" i="5"/>
  <c r="L122" i="5" s="1"/>
  <c r="D95" i="5"/>
  <c r="P56" i="5"/>
  <c r="C119" i="5"/>
  <c r="L119" i="5" s="1"/>
  <c r="M10" i="5"/>
  <c r="P28" i="5"/>
  <c r="R124" i="5"/>
  <c r="S31" i="5"/>
  <c r="O101" i="5"/>
  <c r="N33" i="5"/>
  <c r="B91" i="5"/>
  <c r="O33" i="5"/>
  <c r="S117" i="5"/>
  <c r="C57" i="5"/>
  <c r="L57" i="5" s="1"/>
  <c r="R150" i="5"/>
  <c r="N22" i="5"/>
  <c r="B10" i="5"/>
  <c r="N86" i="5"/>
  <c r="C47" i="5"/>
  <c r="L47" i="5" s="1"/>
  <c r="B116" i="5"/>
  <c r="P88" i="5"/>
  <c r="N122" i="5"/>
  <c r="N58" i="5"/>
  <c r="D78" i="5"/>
  <c r="P76" i="5"/>
  <c r="B128" i="5"/>
  <c r="Q83" i="5"/>
  <c r="S42" i="5"/>
  <c r="N69" i="5"/>
  <c r="B33" i="5"/>
  <c r="M36" i="5"/>
  <c r="N94" i="5"/>
  <c r="R86" i="5"/>
  <c r="Q80" i="5"/>
  <c r="Q137" i="5"/>
  <c r="D156" i="5"/>
  <c r="Q95" i="5"/>
  <c r="B135" i="5"/>
  <c r="O38" i="5"/>
  <c r="Q86" i="5"/>
  <c r="M106" i="5"/>
  <c r="N12" i="5"/>
  <c r="B56" i="5"/>
  <c r="B108" i="5"/>
  <c r="O10" i="5"/>
  <c r="Q132" i="5"/>
  <c r="B103" i="5"/>
  <c r="S54" i="5"/>
  <c r="C8" i="5"/>
  <c r="Q171" i="5"/>
  <c r="C171" i="5"/>
  <c r="L171" i="5" s="1"/>
  <c r="R168" i="5"/>
  <c r="C164" i="5"/>
  <c r="L164" i="5" s="1"/>
  <c r="D164" i="5"/>
  <c r="B165" i="5"/>
  <c r="C163" i="5"/>
  <c r="L163" i="5" s="1"/>
  <c r="B152" i="5"/>
  <c r="O100" i="5"/>
  <c r="S27" i="5"/>
  <c r="O3" i="5"/>
  <c r="P154" i="5"/>
  <c r="S15" i="5"/>
  <c r="P72" i="5"/>
  <c r="P7" i="5"/>
  <c r="D151" i="5"/>
  <c r="B119" i="5"/>
  <c r="C3" i="5"/>
  <c r="L3" i="5" s="1"/>
  <c r="C60" i="5"/>
  <c r="L60" i="5" s="1"/>
  <c r="Q154" i="5"/>
  <c r="O2" i="5"/>
  <c r="C78" i="5"/>
  <c r="L78" i="5" s="1"/>
  <c r="R109" i="5"/>
  <c r="P151" i="5"/>
  <c r="P115" i="5"/>
  <c r="B85" i="5"/>
  <c r="S66" i="5"/>
  <c r="N150" i="5"/>
  <c r="D120" i="5"/>
  <c r="R139" i="5"/>
  <c r="Q24" i="5"/>
  <c r="O91" i="5"/>
  <c r="N7" i="5"/>
  <c r="O64" i="5"/>
  <c r="M156" i="5"/>
  <c r="O88" i="5"/>
  <c r="N100" i="5"/>
  <c r="C55" i="5"/>
  <c r="L55" i="5" s="1"/>
  <c r="M35" i="5"/>
  <c r="P83" i="5"/>
  <c r="R114" i="5"/>
  <c r="S120" i="5"/>
  <c r="O36" i="5"/>
  <c r="M129" i="5"/>
  <c r="M92" i="5"/>
  <c r="N151" i="5"/>
  <c r="R71" i="5"/>
  <c r="C40" i="5"/>
  <c r="L40" i="5" s="1"/>
  <c r="M111" i="5"/>
  <c r="D89" i="5"/>
  <c r="Q81" i="5"/>
  <c r="Q104" i="5"/>
  <c r="Q110" i="5"/>
  <c r="D54" i="5"/>
  <c r="Q36" i="5"/>
  <c r="C81" i="5"/>
  <c r="L81" i="5" s="1"/>
  <c r="N63" i="5"/>
  <c r="Q50" i="5"/>
  <c r="N30" i="5"/>
  <c r="D124" i="5"/>
  <c r="M146" i="5"/>
  <c r="M33" i="5"/>
  <c r="N53" i="5"/>
  <c r="S125" i="5"/>
  <c r="N73" i="5"/>
  <c r="M49" i="5"/>
  <c r="D7" i="5"/>
  <c r="R18" i="5"/>
  <c r="D104" i="5"/>
  <c r="S134" i="5"/>
  <c r="M31" i="5"/>
  <c r="R26" i="5"/>
  <c r="S73" i="5"/>
  <c r="P86" i="5"/>
  <c r="S65" i="5"/>
  <c r="Q65" i="5"/>
  <c r="P59" i="5"/>
  <c r="S46" i="5"/>
  <c r="R60" i="5"/>
  <c r="M100" i="5"/>
  <c r="O54" i="5"/>
  <c r="D149" i="5"/>
  <c r="R104" i="5"/>
  <c r="M22" i="5"/>
  <c r="P93" i="5"/>
  <c r="D172" i="5"/>
  <c r="P167" i="5"/>
  <c r="O168" i="5"/>
  <c r="D140" i="5"/>
  <c r="Q138" i="5"/>
  <c r="C22" i="5"/>
  <c r="L22" i="5" s="1"/>
  <c r="R141" i="5"/>
  <c r="B48" i="5"/>
  <c r="P73" i="5"/>
  <c r="C19" i="5"/>
  <c r="L19" i="5" s="1"/>
  <c r="P47" i="5"/>
  <c r="P81" i="5"/>
  <c r="B35" i="5"/>
  <c r="P155" i="5"/>
  <c r="D94" i="5"/>
  <c r="P54" i="5"/>
  <c r="C25" i="5"/>
  <c r="P156" i="5"/>
  <c r="B62" i="5"/>
  <c r="O44" i="5"/>
  <c r="B8" i="5"/>
  <c r="M37" i="5"/>
  <c r="R50" i="5"/>
  <c r="R113" i="5"/>
  <c r="B76" i="5"/>
  <c r="M134" i="5"/>
  <c r="C18" i="5"/>
  <c r="L18" i="5" s="1"/>
  <c r="D51" i="5"/>
  <c r="C30" i="5"/>
  <c r="L30" i="5" s="1"/>
  <c r="B122" i="5"/>
  <c r="P44" i="5"/>
  <c r="N125" i="5"/>
  <c r="P42" i="5"/>
  <c r="Q122" i="5"/>
  <c r="B111" i="5"/>
  <c r="B42" i="5"/>
  <c r="O4" i="5"/>
  <c r="S76" i="5"/>
  <c r="C79" i="5"/>
  <c r="L79" i="5" s="1"/>
  <c r="R116" i="5"/>
  <c r="S79" i="5"/>
  <c r="R137" i="5"/>
  <c r="P77" i="5"/>
  <c r="D35" i="5"/>
  <c r="B113" i="5"/>
  <c r="P32" i="5"/>
  <c r="D71" i="5"/>
  <c r="N18" i="5"/>
  <c r="S135" i="5"/>
  <c r="Q32" i="5"/>
  <c r="R92" i="5"/>
  <c r="N71" i="5"/>
  <c r="P117" i="5"/>
  <c r="O85" i="5"/>
  <c r="M55" i="5"/>
  <c r="P133" i="5"/>
  <c r="R31" i="5"/>
  <c r="O131" i="5"/>
  <c r="S33" i="5"/>
  <c r="Q46" i="5"/>
  <c r="Q97" i="5"/>
  <c r="C38" i="5"/>
  <c r="L38" i="5" s="1"/>
  <c r="P36" i="5"/>
  <c r="B104" i="5"/>
  <c r="R54" i="5"/>
  <c r="S43" i="5"/>
  <c r="O90" i="5"/>
  <c r="S103" i="5"/>
  <c r="M130" i="5"/>
  <c r="P45" i="5"/>
  <c r="M110" i="5"/>
  <c r="D29" i="5"/>
  <c r="Q33" i="5"/>
  <c r="P27" i="5"/>
  <c r="P99" i="5"/>
  <c r="C36" i="5"/>
  <c r="L36" i="5" s="1"/>
  <c r="Q129" i="5"/>
  <c r="R7" i="5"/>
  <c r="P79" i="5"/>
  <c r="N64" i="5"/>
  <c r="B92" i="5"/>
  <c r="B125" i="5"/>
  <c r="S107" i="5"/>
  <c r="M128" i="5"/>
  <c r="B170" i="5"/>
  <c r="R166" i="5"/>
  <c r="N165" i="5"/>
  <c r="C140" i="5"/>
  <c r="L140" i="5" s="1"/>
  <c r="C158" i="5"/>
  <c r="L158" i="5" s="1"/>
  <c r="N27" i="5"/>
  <c r="C85" i="5"/>
  <c r="L85" i="5" s="1"/>
  <c r="R110" i="5"/>
  <c r="B73" i="5"/>
  <c r="O53" i="5"/>
  <c r="N158" i="5"/>
  <c r="O12" i="5"/>
  <c r="O114" i="5"/>
  <c r="Q140" i="5"/>
  <c r="M75" i="5"/>
  <c r="C11" i="5"/>
  <c r="L11" i="5" s="1"/>
  <c r="N130" i="5"/>
  <c r="S144" i="5"/>
  <c r="M104" i="5"/>
  <c r="M137" i="5"/>
  <c r="S32" i="5"/>
  <c r="Q4" i="5"/>
  <c r="R23" i="5"/>
  <c r="M117" i="5"/>
  <c r="D126" i="5"/>
  <c r="M86" i="5"/>
  <c r="P136" i="5"/>
  <c r="C106" i="5"/>
  <c r="L106" i="5" s="1"/>
  <c r="N116" i="5"/>
  <c r="C99" i="5"/>
  <c r="L99" i="5" s="1"/>
  <c r="O21" i="5"/>
  <c r="O105" i="5"/>
  <c r="N80" i="5"/>
  <c r="P114" i="5"/>
  <c r="C86" i="5"/>
  <c r="L86" i="5" s="1"/>
  <c r="N93" i="5"/>
  <c r="O116" i="5"/>
  <c r="P62" i="5"/>
  <c r="O76" i="5"/>
  <c r="O35" i="5"/>
  <c r="R69" i="5"/>
  <c r="B39" i="5"/>
  <c r="M122" i="5"/>
  <c r="R21" i="5"/>
  <c r="P87" i="5"/>
  <c r="N153" i="5"/>
  <c r="D44" i="5"/>
  <c r="B61" i="5"/>
  <c r="M69" i="5"/>
  <c r="C5" i="5"/>
  <c r="L5" i="5" s="1"/>
  <c r="N36" i="5"/>
  <c r="C80" i="5"/>
  <c r="L80" i="5" s="1"/>
  <c r="D130" i="5"/>
  <c r="P51" i="5"/>
  <c r="Q43" i="5"/>
  <c r="R87" i="5"/>
  <c r="D27" i="5"/>
  <c r="S2" i="5"/>
  <c r="R55" i="5"/>
  <c r="O169" i="5"/>
  <c r="P162" i="5"/>
  <c r="O166" i="5"/>
  <c r="M64" i="5"/>
  <c r="B156" i="5"/>
  <c r="N26" i="5"/>
  <c r="M5" i="5"/>
  <c r="D155" i="5"/>
  <c r="R14" i="5"/>
  <c r="O18" i="5"/>
  <c r="O155" i="5"/>
  <c r="C69" i="5"/>
  <c r="L69" i="5" s="1"/>
  <c r="P6" i="5"/>
  <c r="B30" i="5"/>
  <c r="C67" i="5"/>
  <c r="L67" i="5" s="1"/>
  <c r="Q8" i="5"/>
  <c r="N103" i="5"/>
  <c r="D121" i="5"/>
  <c r="M2" i="5"/>
  <c r="O20" i="5"/>
  <c r="N101" i="5"/>
  <c r="N8" i="5"/>
  <c r="M46" i="5"/>
  <c r="Q40" i="5"/>
  <c r="D19" i="5"/>
  <c r="Q125" i="5"/>
  <c r="Q92" i="5"/>
  <c r="Q27" i="5"/>
  <c r="B110" i="5"/>
  <c r="R135" i="5"/>
  <c r="O108" i="5"/>
  <c r="C121" i="5"/>
  <c r="L121" i="5" s="1"/>
  <c r="P41" i="5"/>
  <c r="C110" i="5"/>
  <c r="L110" i="5" s="1"/>
  <c r="M133" i="5"/>
  <c r="O70" i="5"/>
  <c r="R138" i="5"/>
  <c r="Q120" i="5"/>
  <c r="N104" i="5"/>
  <c r="D74" i="5"/>
  <c r="N51" i="5"/>
  <c r="C66" i="5"/>
  <c r="L66" i="5" s="1"/>
  <c r="C100" i="5"/>
  <c r="L100" i="5" s="1"/>
  <c r="O92" i="5"/>
  <c r="P124" i="5"/>
  <c r="N147" i="5"/>
  <c r="N95" i="5"/>
  <c r="O138" i="5"/>
  <c r="Q54" i="5"/>
  <c r="P122" i="5"/>
  <c r="P128" i="5"/>
  <c r="C2" i="5"/>
  <c r="L2" i="5" s="1"/>
  <c r="D48" i="5"/>
  <c r="N5" i="5"/>
  <c r="B41" i="5"/>
  <c r="M20" i="5"/>
  <c r="B130" i="5"/>
  <c r="R94" i="5"/>
  <c r="B70" i="5"/>
  <c r="C10" i="5"/>
  <c r="L10" i="5" s="1"/>
  <c r="Q91" i="5"/>
  <c r="S109" i="5"/>
  <c r="B9" i="5"/>
  <c r="Q88" i="5"/>
  <c r="R115" i="5"/>
  <c r="R19" i="5"/>
  <c r="O9" i="5"/>
  <c r="R134" i="5"/>
  <c r="D22" i="5"/>
  <c r="M91" i="5"/>
  <c r="S28" i="5"/>
  <c r="C132" i="5"/>
  <c r="L132" i="5" s="1"/>
  <c r="M114" i="5"/>
  <c r="R58" i="5"/>
  <c r="M60" i="5"/>
  <c r="R133" i="5"/>
  <c r="O125" i="5"/>
  <c r="O134" i="5"/>
  <c r="C101" i="5"/>
  <c r="L101" i="5" s="1"/>
  <c r="N141" i="5"/>
  <c r="O97" i="5"/>
  <c r="Q82" i="5"/>
  <c r="P8" i="5"/>
  <c r="R145" i="5"/>
  <c r="N41" i="5"/>
  <c r="B171" i="5"/>
  <c r="M163" i="5"/>
  <c r="Q164" i="5"/>
  <c r="P66" i="5"/>
  <c r="Q151" i="5"/>
  <c r="Q56" i="5"/>
  <c r="N126" i="5"/>
  <c r="P149" i="5"/>
  <c r="R80" i="5"/>
  <c r="O26" i="5"/>
  <c r="C149" i="5"/>
  <c r="L149" i="5" s="1"/>
  <c r="C72" i="5"/>
  <c r="L72" i="5" s="1"/>
  <c r="S4" i="5"/>
  <c r="S114" i="5"/>
  <c r="S48" i="5"/>
  <c r="P26" i="5"/>
  <c r="C59" i="5"/>
  <c r="L59" i="5" s="1"/>
  <c r="N121" i="5"/>
  <c r="N32" i="5"/>
  <c r="B87" i="5"/>
  <c r="D110" i="5"/>
  <c r="N52" i="5"/>
  <c r="S91" i="5"/>
  <c r="M88" i="5"/>
  <c r="O37" i="5"/>
  <c r="D97" i="5"/>
  <c r="S24" i="5"/>
  <c r="B80" i="5"/>
  <c r="M32" i="5"/>
  <c r="S21" i="5"/>
  <c r="B20" i="5"/>
  <c r="O111" i="5"/>
  <c r="M53" i="5"/>
  <c r="O24" i="5"/>
  <c r="N91" i="5"/>
  <c r="R155" i="5"/>
  <c r="Q61" i="5"/>
  <c r="C90" i="5"/>
  <c r="L90" i="5" s="1"/>
  <c r="M30" i="5"/>
  <c r="Q5" i="5"/>
  <c r="D137" i="5"/>
  <c r="O123" i="5"/>
  <c r="M126" i="5"/>
  <c r="C82" i="5"/>
  <c r="L82" i="5" s="1"/>
  <c r="O93" i="5"/>
  <c r="N85" i="5"/>
  <c r="M29" i="5"/>
  <c r="P106" i="5"/>
  <c r="N20" i="5"/>
  <c r="D2" i="5"/>
  <c r="R74" i="5"/>
  <c r="M101" i="5"/>
  <c r="Q135" i="5"/>
  <c r="P95" i="5"/>
  <c r="P91" i="5"/>
  <c r="R9" i="5"/>
  <c r="P4" i="5"/>
  <c r="D10" i="5"/>
  <c r="R30" i="5"/>
  <c r="Q44" i="5"/>
  <c r="S113" i="5"/>
  <c r="C134" i="5"/>
  <c r="L134" i="5" s="1"/>
  <c r="D18" i="5"/>
  <c r="N106" i="5"/>
  <c r="N75" i="5"/>
  <c r="P18" i="5"/>
  <c r="C9" i="5"/>
  <c r="L9" i="5" s="1"/>
  <c r="M93" i="5"/>
  <c r="C129" i="5"/>
  <c r="L129" i="5" s="1"/>
  <c r="S128" i="5"/>
  <c r="M99" i="5"/>
  <c r="M47" i="5"/>
  <c r="R44" i="5"/>
  <c r="C44" i="5"/>
  <c r="L44" i="5" s="1"/>
  <c r="B11" i="5"/>
  <c r="Q111" i="5"/>
  <c r="R122" i="5"/>
  <c r="B106" i="5"/>
  <c r="R82" i="5"/>
  <c r="M66" i="5"/>
  <c r="B137" i="5"/>
  <c r="P50" i="5"/>
  <c r="M50" i="5"/>
  <c r="N145" i="5"/>
  <c r="B172" i="5"/>
  <c r="O163" i="5"/>
  <c r="P164" i="5"/>
  <c r="M118" i="5"/>
  <c r="S140" i="5"/>
  <c r="D56" i="5"/>
  <c r="P135" i="5"/>
  <c r="M140" i="5"/>
  <c r="N10" i="5"/>
  <c r="C14" i="5"/>
  <c r="L14" i="5" s="1"/>
  <c r="O142" i="5"/>
  <c r="S72" i="5"/>
  <c r="S85" i="5"/>
  <c r="B102" i="5"/>
  <c r="P48" i="5"/>
  <c r="B131" i="5"/>
  <c r="N21" i="5"/>
  <c r="S90" i="5"/>
  <c r="P110" i="5"/>
  <c r="Q116" i="5"/>
  <c r="R84" i="5"/>
  <c r="O84" i="5"/>
  <c r="C156" i="5"/>
  <c r="L156" i="5" s="1"/>
  <c r="O121" i="5"/>
  <c r="N23" i="5"/>
  <c r="Q94" i="5"/>
  <c r="N92" i="5"/>
  <c r="S122" i="5"/>
  <c r="B60" i="5"/>
  <c r="S11" i="5"/>
  <c r="N43" i="5"/>
  <c r="R48" i="5"/>
  <c r="R75" i="5"/>
  <c r="N129" i="5"/>
  <c r="Q7" i="5"/>
  <c r="S143" i="5"/>
  <c r="R24" i="5"/>
  <c r="C26" i="5"/>
  <c r="L26" i="5" s="1"/>
  <c r="R42" i="5"/>
  <c r="O86" i="5"/>
  <c r="R91" i="5"/>
  <c r="N117" i="5"/>
  <c r="S102" i="5"/>
  <c r="S82" i="5"/>
  <c r="B84" i="5"/>
  <c r="S78" i="5"/>
  <c r="N59" i="5"/>
  <c r="C6" i="5"/>
  <c r="S138" i="5"/>
  <c r="P13" i="5"/>
  <c r="B71" i="5"/>
  <c r="D30" i="5"/>
  <c r="R78" i="5"/>
  <c r="C42" i="5"/>
  <c r="L42" i="5" s="1"/>
  <c r="N97" i="5"/>
  <c r="S153" i="5"/>
  <c r="O109" i="5"/>
  <c r="P20" i="5"/>
  <c r="B123" i="5"/>
  <c r="D90" i="5"/>
  <c r="C56" i="5"/>
  <c r="L56" i="5" s="1"/>
  <c r="N105" i="5"/>
  <c r="R88" i="5"/>
  <c r="Q75" i="5"/>
  <c r="R13" i="5"/>
  <c r="M51" i="5"/>
  <c r="S150" i="5"/>
  <c r="O62" i="5"/>
  <c r="Q76" i="5"/>
  <c r="P100" i="5"/>
  <c r="P148" i="5"/>
  <c r="R130" i="5"/>
  <c r="C94" i="5"/>
  <c r="L94" i="5" s="1"/>
  <c r="Q149" i="5"/>
  <c r="Q22" i="5"/>
  <c r="D118" i="5"/>
  <c r="N88" i="5"/>
  <c r="O145" i="5"/>
  <c r="S77" i="5"/>
  <c r="D67" i="5"/>
  <c r="N39" i="5"/>
  <c r="O25" i="5"/>
  <c r="Q47" i="5"/>
  <c r="N25" i="5"/>
  <c r="C71" i="5"/>
  <c r="L71" i="5" s="1"/>
  <c r="S172" i="5"/>
  <c r="R167" i="5"/>
  <c r="N159" i="5"/>
  <c r="S105" i="5"/>
  <c r="B105" i="5"/>
  <c r="M157" i="5"/>
  <c r="R76" i="5"/>
  <c r="B59" i="5"/>
  <c r="Q157" i="5"/>
  <c r="Q59" i="5"/>
  <c r="N11" i="5"/>
  <c r="B53" i="5"/>
  <c r="B63" i="5"/>
  <c r="N66" i="5"/>
  <c r="C138" i="5"/>
  <c r="L138" i="5" s="1"/>
  <c r="M71" i="5"/>
  <c r="B120" i="5"/>
  <c r="C123" i="5"/>
  <c r="L123" i="5" s="1"/>
  <c r="B157" i="5"/>
  <c r="P40" i="5"/>
  <c r="S108" i="5"/>
  <c r="M19" i="5"/>
  <c r="C152" i="5"/>
  <c r="L152" i="5" s="1"/>
  <c r="C137" i="5"/>
  <c r="L137" i="5" s="1"/>
  <c r="O122" i="5"/>
  <c r="D132" i="5"/>
  <c r="O95" i="5"/>
  <c r="B64" i="5"/>
  <c r="P139" i="5"/>
  <c r="S29" i="5"/>
  <c r="C31" i="5"/>
  <c r="L31" i="5" s="1"/>
  <c r="B29" i="5"/>
  <c r="Q12" i="5"/>
  <c r="D136" i="5"/>
  <c r="B75" i="5"/>
  <c r="Q29" i="5"/>
  <c r="B40" i="5"/>
  <c r="S14" i="5"/>
  <c r="N132" i="5"/>
  <c r="P101" i="5"/>
  <c r="N29" i="5"/>
  <c r="S61" i="5"/>
  <c r="B24" i="5"/>
  <c r="M76" i="5"/>
  <c r="D145" i="5"/>
  <c r="D5" i="5"/>
  <c r="P35" i="5"/>
  <c r="Q51" i="5"/>
  <c r="O99" i="5"/>
  <c r="B81" i="5"/>
  <c r="O13" i="5"/>
  <c r="P126" i="5"/>
  <c r="D111" i="5"/>
  <c r="O45" i="5"/>
  <c r="D9" i="5"/>
  <c r="S142" i="5"/>
  <c r="P22" i="5"/>
  <c r="N56" i="5"/>
  <c r="N42" i="5"/>
  <c r="C130" i="5"/>
  <c r="L130" i="5" s="1"/>
  <c r="C120" i="5"/>
  <c r="L120" i="5" s="1"/>
  <c r="P14" i="5"/>
  <c r="Q48" i="5"/>
  <c r="S94" i="5"/>
  <c r="R99" i="5"/>
  <c r="B114" i="5"/>
  <c r="P38" i="5"/>
  <c r="D91" i="5"/>
  <c r="P12" i="5"/>
  <c r="R64" i="5"/>
  <c r="M120" i="5"/>
  <c r="M43" i="5"/>
  <c r="R98" i="5"/>
  <c r="M124" i="5"/>
  <c r="S81" i="5"/>
  <c r="D8" i="5"/>
  <c r="D83" i="5"/>
  <c r="N4" i="5"/>
  <c r="R125" i="5"/>
  <c r="N38" i="5"/>
  <c r="N124" i="5"/>
  <c r="M39" i="5"/>
  <c r="Q3" i="5"/>
  <c r="O27" i="5"/>
  <c r="M170" i="5"/>
  <c r="P37" i="5"/>
  <c r="D157" i="5"/>
  <c r="Q102" i="5"/>
  <c r="Q37" i="5"/>
  <c r="D42" i="5"/>
  <c r="N79" i="5"/>
  <c r="C125" i="5"/>
  <c r="L125" i="5" s="1"/>
  <c r="C88" i="5"/>
  <c r="L88" i="5" s="1"/>
  <c r="M40" i="5"/>
  <c r="D39" i="5"/>
  <c r="B145" i="5"/>
  <c r="S126" i="5"/>
  <c r="D123" i="5"/>
  <c r="S3" i="5"/>
  <c r="D135" i="5"/>
  <c r="O72" i="5"/>
  <c r="O67" i="5"/>
  <c r="C46" i="5"/>
  <c r="L46" i="5" s="1"/>
  <c r="R136" i="5"/>
  <c r="B25" i="5"/>
  <c r="B117" i="5"/>
  <c r="R103" i="5"/>
  <c r="B82" i="5"/>
  <c r="M95" i="5"/>
  <c r="D122" i="5"/>
  <c r="Q9" i="5"/>
  <c r="D64" i="5"/>
  <c r="P10" i="5"/>
  <c r="C28" i="5"/>
  <c r="L28" i="5" s="1"/>
  <c r="C133" i="5"/>
  <c r="L133" i="5" s="1"/>
  <c r="S133" i="5"/>
  <c r="D82" i="5"/>
  <c r="M125" i="5"/>
  <c r="O7" i="5"/>
  <c r="S12" i="5"/>
  <c r="N89" i="5"/>
  <c r="M70" i="5"/>
  <c r="Q42" i="5"/>
  <c r="B169" i="5"/>
  <c r="M25" i="5"/>
  <c r="Q150" i="5"/>
  <c r="D81" i="5"/>
  <c r="D26" i="5"/>
  <c r="N45" i="5"/>
  <c r="P105" i="5"/>
  <c r="R37" i="5"/>
  <c r="D98" i="5"/>
  <c r="C84" i="5"/>
  <c r="L84" i="5" s="1"/>
  <c r="D79" i="5"/>
  <c r="S84" i="5"/>
  <c r="O112" i="5"/>
  <c r="Q121" i="5"/>
  <c r="D88" i="5"/>
  <c r="P97" i="5"/>
  <c r="M97" i="5"/>
  <c r="O59" i="5"/>
  <c r="R43" i="5"/>
  <c r="N62" i="5"/>
  <c r="N139" i="5"/>
  <c r="M24" i="5"/>
  <c r="N131" i="5"/>
  <c r="R38" i="5"/>
  <c r="C104" i="5"/>
  <c r="L104" i="5" s="1"/>
  <c r="B139" i="5"/>
  <c r="O46" i="5"/>
  <c r="D80" i="5"/>
  <c r="R2" i="5"/>
  <c r="Q126" i="5"/>
  <c r="D60" i="5"/>
  <c r="N65" i="5"/>
  <c r="D59" i="5"/>
  <c r="Q19" i="5"/>
  <c r="P132" i="5"/>
  <c r="O30" i="5"/>
  <c r="N57" i="5"/>
  <c r="D134" i="5"/>
  <c r="O137" i="5"/>
  <c r="R49" i="5"/>
  <c r="C73" i="5"/>
  <c r="L73" i="5" s="1"/>
  <c r="M18" i="5"/>
  <c r="P31" i="5"/>
  <c r="D49" i="5"/>
  <c r="O107" i="5"/>
  <c r="R68" i="5"/>
  <c r="Q136" i="5"/>
  <c r="B66" i="5"/>
  <c r="M79" i="5"/>
  <c r="R93" i="5"/>
  <c r="N134" i="5"/>
  <c r="M56" i="5"/>
  <c r="O124" i="5"/>
  <c r="O23" i="5"/>
  <c r="C136" i="5"/>
  <c r="L136" i="5" s="1"/>
  <c r="D161" i="5"/>
  <c r="O158" i="5"/>
  <c r="R5" i="5"/>
  <c r="Q98" i="5"/>
  <c r="M45" i="5"/>
  <c r="P137" i="5"/>
  <c r="N3" i="5"/>
  <c r="D50" i="5"/>
  <c r="N84" i="5"/>
  <c r="M11" i="5"/>
  <c r="Q26" i="5"/>
  <c r="S93" i="5"/>
  <c r="Q106" i="5"/>
  <c r="S119" i="5"/>
  <c r="S10" i="5"/>
  <c r="P125" i="5"/>
  <c r="R27" i="5"/>
  <c r="B154" i="5"/>
  <c r="O52" i="5"/>
  <c r="O63" i="5"/>
  <c r="D105" i="5"/>
  <c r="S26" i="5"/>
  <c r="M107" i="5"/>
  <c r="Q63" i="5"/>
  <c r="M8" i="5"/>
  <c r="C91" i="5"/>
  <c r="L91" i="5" s="1"/>
  <c r="N108" i="5"/>
  <c r="O94" i="5"/>
  <c r="D92" i="5"/>
  <c r="Q23" i="5"/>
  <c r="Q123" i="5"/>
  <c r="B90" i="5"/>
  <c r="N98" i="5"/>
  <c r="Q71" i="5"/>
  <c r="N110" i="5"/>
  <c r="M67" i="5"/>
  <c r="N137" i="5"/>
  <c r="B51" i="5"/>
  <c r="R12" i="5"/>
  <c r="D38" i="5"/>
  <c r="M112" i="5"/>
  <c r="D69" i="5"/>
  <c r="O66" i="5"/>
  <c r="R90" i="5"/>
  <c r="D62" i="5"/>
  <c r="R57" i="5"/>
  <c r="D31" i="5"/>
  <c r="N19" i="5"/>
  <c r="Q10" i="5"/>
  <c r="Q85" i="5"/>
  <c r="R45" i="5"/>
  <c r="S9" i="5"/>
  <c r="R15" i="5"/>
  <c r="P90" i="5"/>
  <c r="P57" i="5"/>
  <c r="R163" i="5"/>
  <c r="B149" i="5"/>
  <c r="N76" i="5"/>
  <c r="C49" i="5"/>
  <c r="L49" i="5" s="1"/>
  <c r="O98" i="5"/>
  <c r="C112" i="5"/>
  <c r="L112" i="5" s="1"/>
  <c r="R3" i="5"/>
  <c r="C29" i="5"/>
  <c r="L29" i="5" s="1"/>
  <c r="C95" i="5"/>
  <c r="L95" i="5" s="1"/>
  <c r="Q58" i="5"/>
  <c r="O41" i="5"/>
  <c r="N40" i="5"/>
  <c r="R120" i="5"/>
  <c r="C70" i="5"/>
  <c r="L70" i="5" s="1"/>
  <c r="M83" i="5"/>
  <c r="S69" i="5"/>
  <c r="P55" i="5"/>
  <c r="B83" i="5"/>
  <c r="N2" i="5"/>
  <c r="P68" i="5"/>
  <c r="O32" i="5"/>
  <c r="S39" i="5"/>
  <c r="Q13" i="5"/>
  <c r="Q118" i="5"/>
  <c r="N67" i="5"/>
  <c r="S45" i="5"/>
  <c r="N54" i="5"/>
  <c r="R22" i="5"/>
  <c r="S110" i="5"/>
  <c r="D119" i="5"/>
  <c r="M94" i="5"/>
  <c r="B124" i="5"/>
  <c r="M113" i="5"/>
  <c r="S58" i="5"/>
  <c r="N46" i="5"/>
  <c r="C54" i="5"/>
  <c r="L54" i="5" s="1"/>
  <c r="D117" i="5"/>
  <c r="M41" i="5"/>
  <c r="D114" i="5"/>
  <c r="P150" i="5"/>
  <c r="M62" i="5"/>
  <c r="B36" i="5"/>
  <c r="N37" i="5"/>
  <c r="Q18" i="5"/>
  <c r="M145" i="5"/>
  <c r="M57" i="5"/>
  <c r="S62" i="5"/>
  <c r="P89" i="5"/>
  <c r="B18" i="5"/>
  <c r="B95" i="5"/>
  <c r="N31" i="5"/>
  <c r="S75" i="5"/>
  <c r="B94" i="5"/>
  <c r="O15" i="5"/>
  <c r="R20" i="5"/>
  <c r="N157" i="5"/>
  <c r="D77" i="5"/>
  <c r="Q62" i="5"/>
  <c r="M58" i="5"/>
  <c r="O146" i="5"/>
  <c r="R142" i="5"/>
  <c r="R108" i="5"/>
  <c r="S41" i="5"/>
  <c r="C98" i="5"/>
  <c r="L98" i="5" s="1"/>
  <c r="R46" i="5"/>
  <c r="M38" i="5"/>
  <c r="D24" i="5"/>
  <c r="D28" i="5"/>
  <c r="B136" i="5"/>
  <c r="P19" i="5"/>
  <c r="O49" i="5"/>
  <c r="O19" i="5"/>
  <c r="B112" i="5"/>
  <c r="P138" i="5"/>
  <c r="O83" i="5"/>
  <c r="P116" i="5"/>
  <c r="C52" i="5"/>
  <c r="L52" i="5" s="1"/>
  <c r="O80" i="5"/>
  <c r="D108" i="5"/>
  <c r="Q11" i="5"/>
  <c r="Q90" i="5"/>
  <c r="N82" i="5"/>
  <c r="S95" i="5"/>
  <c r="P131" i="5"/>
  <c r="R119" i="5"/>
  <c r="B86" i="5"/>
  <c r="C114" i="5"/>
  <c r="L114" i="5" s="1"/>
  <c r="Q128" i="5"/>
  <c r="M87" i="5"/>
  <c r="B129" i="5"/>
  <c r="B55" i="5"/>
  <c r="M72" i="5"/>
  <c r="O120" i="5"/>
  <c r="M141" i="5"/>
  <c r="D102" i="5"/>
  <c r="C50" i="5"/>
  <c r="L50" i="5" s="1"/>
  <c r="B98" i="5"/>
  <c r="M52" i="5"/>
  <c r="B37" i="5"/>
  <c r="N44" i="5"/>
  <c r="N72" i="5"/>
  <c r="S53" i="5"/>
  <c r="O81" i="5"/>
  <c r="D3" i="5"/>
  <c r="M63" i="5"/>
  <c r="R39" i="5"/>
  <c r="P75" i="5"/>
  <c r="S83" i="5"/>
  <c r="C92" i="5"/>
  <c r="L92" i="5" s="1"/>
  <c r="M23" i="5"/>
  <c r="C103" i="5"/>
  <c r="L103" i="5" s="1"/>
  <c r="R66" i="5"/>
  <c r="P134" i="5"/>
  <c r="O89" i="5"/>
  <c r="O113" i="5"/>
  <c r="M12" i="5"/>
  <c r="C87" i="5"/>
  <c r="L87" i="5" s="1"/>
  <c r="B19" i="5"/>
  <c r="O133" i="5"/>
  <c r="O40" i="5"/>
  <c r="O139" i="5"/>
  <c r="P129" i="5"/>
  <c r="R100" i="5"/>
  <c r="R70" i="5"/>
  <c r="N24" i="5"/>
  <c r="R132" i="5"/>
  <c r="N48" i="5"/>
  <c r="M7" i="5"/>
  <c r="Q145" i="5"/>
  <c r="Q25" i="5"/>
  <c r="R62" i="5"/>
  <c r="S99" i="5"/>
  <c r="R25" i="5"/>
  <c r="Q115" i="5"/>
  <c r="S20" i="5"/>
  <c r="O75" i="5"/>
  <c r="M138" i="5"/>
  <c r="Q45" i="5"/>
  <c r="R95" i="5"/>
  <c r="N35" i="5"/>
  <c r="C21" i="5"/>
  <c r="L21" i="5" s="1"/>
  <c r="Q100" i="5"/>
  <c r="B88" i="5"/>
  <c r="S35" i="5"/>
  <c r="O71" i="5"/>
  <c r="D131" i="5"/>
  <c r="D70" i="5"/>
  <c r="B89" i="5"/>
  <c r="S137" i="5"/>
  <c r="D101" i="5"/>
  <c r="R106" i="5"/>
  <c r="C145" i="5"/>
  <c r="L145" i="5" s="1"/>
  <c r="M98" i="5"/>
  <c r="N83" i="5"/>
  <c r="D129" i="5"/>
  <c r="C35" i="5"/>
  <c r="L35" i="5" s="1"/>
  <c r="S87" i="5"/>
  <c r="S145" i="5"/>
  <c r="B195" i="5"/>
  <c r="M195" i="5"/>
  <c r="Q195" i="5"/>
  <c r="S192" i="5"/>
  <c r="N193" i="5"/>
  <c r="B191" i="5"/>
  <c r="Q186" i="5"/>
  <c r="C187" i="5"/>
  <c r="L187" i="5" s="1"/>
  <c r="N188" i="5"/>
  <c r="O186" i="5"/>
  <c r="B188" i="5"/>
  <c r="D186" i="5"/>
  <c r="O187" i="5"/>
  <c r="D185" i="5"/>
  <c r="N195" i="5"/>
  <c r="C192" i="5"/>
  <c r="L192" i="5" s="1"/>
  <c r="C191" i="5"/>
  <c r="L191" i="5" s="1"/>
  <c r="S190" i="5"/>
  <c r="O191" i="5"/>
  <c r="D195" i="5"/>
  <c r="B193" i="5"/>
  <c r="S191" i="5"/>
  <c r="B189" i="5"/>
  <c r="R195" i="5"/>
  <c r="C194" i="5"/>
  <c r="L194" i="5" s="1"/>
  <c r="O194" i="5"/>
  <c r="C193" i="5"/>
  <c r="L193" i="5" s="1"/>
  <c r="D192" i="5"/>
  <c r="R191" i="5"/>
  <c r="R188" i="5"/>
  <c r="S187" i="5"/>
  <c r="D187" i="5"/>
  <c r="M191" i="5"/>
  <c r="M189" i="5"/>
  <c r="D189" i="5"/>
  <c r="M186" i="5"/>
  <c r="P185" i="5"/>
  <c r="Q194" i="5"/>
  <c r="N189" i="5"/>
  <c r="R186" i="5"/>
  <c r="Q187" i="5"/>
  <c r="D194" i="5"/>
  <c r="P193" i="5"/>
  <c r="S186" i="5"/>
  <c r="Q185" i="5"/>
  <c r="S195" i="5"/>
  <c r="S194" i="5"/>
  <c r="P194" i="5"/>
  <c r="S193" i="5"/>
  <c r="M192" i="5"/>
  <c r="P190" i="5"/>
  <c r="C188" i="5"/>
  <c r="L188" i="5" s="1"/>
  <c r="N190" i="5"/>
  <c r="B186" i="5"/>
  <c r="C190" i="5"/>
  <c r="L190" i="5" s="1"/>
  <c r="N191" i="5"/>
  <c r="O190" i="5"/>
  <c r="N186" i="5"/>
  <c r="M185" i="5"/>
  <c r="C195" i="5"/>
  <c r="L195" i="5" s="1"/>
  <c r="O193" i="5"/>
  <c r="Q191" i="5"/>
  <c r="D190" i="5"/>
  <c r="N185" i="5"/>
  <c r="D193" i="5"/>
  <c r="Q189" i="5"/>
  <c r="B194" i="5"/>
  <c r="M194" i="5"/>
  <c r="R193" i="5"/>
  <c r="B192" i="5"/>
  <c r="N192" i="5"/>
  <c r="B187" i="5"/>
  <c r="Q190" i="5"/>
  <c r="B190" i="5"/>
  <c r="P191" i="5"/>
  <c r="O188" i="5"/>
  <c r="R189" i="5"/>
  <c r="C189" i="5"/>
  <c r="L189" i="5" s="1"/>
  <c r="R185" i="5"/>
  <c r="O185" i="5"/>
  <c r="N194" i="5"/>
  <c r="M193" i="5"/>
  <c r="P186" i="5"/>
  <c r="P189" i="5"/>
  <c r="C186" i="5"/>
  <c r="L186" i="5" s="1"/>
  <c r="Q188" i="5"/>
  <c r="D188" i="5"/>
  <c r="M190" i="5"/>
  <c r="R194" i="5"/>
  <c r="O195" i="5"/>
  <c r="P192" i="5"/>
  <c r="R192" i="5"/>
  <c r="Q193" i="5"/>
  <c r="R187" i="5"/>
  <c r="O189" i="5"/>
  <c r="R190" i="5"/>
  <c r="P187" i="5"/>
  <c r="M187" i="5"/>
  <c r="P188" i="5"/>
  <c r="S189" i="5"/>
  <c r="C185" i="5"/>
  <c r="L185" i="5" s="1"/>
  <c r="P195" i="5"/>
  <c r="Q192" i="5"/>
  <c r="O192" i="5"/>
  <c r="M188" i="5"/>
  <c r="S188" i="5"/>
  <c r="N187" i="5"/>
  <c r="S185" i="5"/>
  <c r="D191" i="5"/>
  <c r="B185" i="5"/>
  <c r="M207" i="5"/>
  <c r="R207" i="5"/>
  <c r="B34" i="5"/>
  <c r="N34" i="5"/>
  <c r="O207" i="5"/>
  <c r="P207" i="5"/>
  <c r="B196" i="5"/>
  <c r="O196" i="5"/>
  <c r="Q127" i="5"/>
  <c r="P127" i="5"/>
  <c r="B96" i="5"/>
  <c r="D196" i="5"/>
  <c r="B127" i="5"/>
  <c r="S127" i="5"/>
  <c r="Q207" i="5"/>
  <c r="R196" i="5"/>
  <c r="Q196" i="5"/>
  <c r="P96" i="5"/>
  <c r="M127" i="5"/>
  <c r="C127" i="5"/>
  <c r="L127" i="5" s="1"/>
  <c r="S196" i="5"/>
  <c r="M96" i="5"/>
  <c r="S96" i="5"/>
  <c r="D207" i="5"/>
  <c r="C196" i="5"/>
  <c r="L196" i="5" s="1"/>
  <c r="D127" i="5"/>
  <c r="O34" i="5"/>
  <c r="D96" i="5"/>
  <c r="Q34" i="5"/>
  <c r="B207" i="5"/>
  <c r="S34" i="5"/>
  <c r="O127" i="5"/>
  <c r="C207" i="5"/>
  <c r="L207" i="5" s="1"/>
  <c r="P196" i="5"/>
  <c r="C34" i="5"/>
  <c r="L34" i="5" s="1"/>
  <c r="R34" i="5"/>
  <c r="R127" i="5"/>
  <c r="Q96" i="5"/>
  <c r="N207" i="5"/>
  <c r="S207" i="5"/>
  <c r="M196" i="5"/>
  <c r="R96" i="5"/>
  <c r="M34" i="5"/>
  <c r="O96" i="5"/>
  <c r="N127" i="5"/>
  <c r="N196" i="5"/>
  <c r="D34" i="5"/>
  <c r="C96" i="5"/>
  <c r="L96" i="5" s="1"/>
  <c r="P34" i="5"/>
  <c r="N96" i="5"/>
  <c r="B9" i="7" l="1"/>
  <c r="B1" i="7"/>
  <c r="B2" i="7"/>
  <c r="F3" i="7"/>
  <c r="B3" i="7"/>
  <c r="D227" i="5" l="1"/>
  <c r="A227" i="5" l="1"/>
  <c r="C227" i="5"/>
  <c r="L227" i="5" s="1"/>
  <c r="P227" i="5"/>
  <c r="Q227" i="5" l="1"/>
  <c r="R227" i="5"/>
  <c r="M227" i="5"/>
  <c r="S227" i="5"/>
  <c r="N227" i="5"/>
  <c r="O227" i="5"/>
  <c r="P230" i="5" l="1"/>
  <c r="A230" i="5"/>
  <c r="C230" i="5"/>
  <c r="L230" i="5" s="1"/>
  <c r="R230" i="5" l="1"/>
  <c r="S230" i="5"/>
  <c r="O230" i="5"/>
  <c r="N230" i="5"/>
  <c r="Q230" i="5"/>
  <c r="M230" i="5"/>
  <c r="C235" i="5" l="1"/>
  <c r="L235" i="5" s="1"/>
  <c r="P235" i="5"/>
  <c r="D235" i="5"/>
  <c r="A235" i="5" s="1"/>
  <c r="O235" i="5" l="1"/>
  <c r="N235" i="5"/>
  <c r="S235" i="5"/>
  <c r="M235" i="5"/>
  <c r="R235" i="5"/>
  <c r="Q235" i="5"/>
  <c r="C240" i="5" l="1"/>
  <c r="L240" i="5" s="1"/>
  <c r="C239" i="5"/>
  <c r="L239" i="5" s="1"/>
  <c r="P239" i="5"/>
  <c r="D240" i="5"/>
  <c r="A240" i="5" s="1"/>
  <c r="P240" i="5"/>
  <c r="D239" i="5"/>
  <c r="A239" i="5" s="1"/>
  <c r="R239" i="5" l="1"/>
  <c r="M239" i="5"/>
  <c r="O239" i="5"/>
  <c r="Q239" i="5"/>
  <c r="N239" i="5"/>
  <c r="S239" i="5"/>
  <c r="M240" i="5"/>
  <c r="N240" i="5"/>
  <c r="S240" i="5"/>
  <c r="Q240" i="5"/>
  <c r="R240" i="5"/>
  <c r="O240" i="5"/>
  <c r="C248" i="5" l="1"/>
  <c r="L248" i="5" s="1"/>
  <c r="P248" i="5"/>
  <c r="D248" i="5"/>
  <c r="A248" i="5" s="1"/>
  <c r="O248" i="5" l="1"/>
  <c r="Q248" i="5"/>
  <c r="S248" i="5"/>
  <c r="R248" i="5"/>
  <c r="C253" i="5" l="1"/>
  <c r="L253" i="5" s="1"/>
  <c r="P253" i="5"/>
  <c r="D253" i="5"/>
  <c r="A253" i="5" l="1"/>
  <c r="S253" i="5" s="1"/>
  <c r="O253" i="5" l="1"/>
  <c r="R253" i="5"/>
  <c r="Q253" i="5"/>
  <c r="N253" i="5"/>
  <c r="M253" i="5"/>
  <c r="C297" i="5" l="1"/>
  <c r="L297" i="5" s="1"/>
  <c r="P297" i="5"/>
  <c r="D297" i="5"/>
  <c r="A297" i="5" l="1"/>
  <c r="R297" i="5" l="1"/>
  <c r="S297" i="5"/>
  <c r="O297" i="5"/>
  <c r="Q297" i="5"/>
  <c r="N297" i="5"/>
  <c r="C345" i="5" l="1"/>
  <c r="L345" i="5" s="1"/>
  <c r="P345" i="5"/>
  <c r="D345" i="5"/>
  <c r="A345" i="5" s="1"/>
  <c r="O345" i="5" l="1"/>
  <c r="M345" i="5"/>
  <c r="R345" i="5"/>
  <c r="S345" i="5"/>
  <c r="N345" i="5"/>
  <c r="Q345" i="5"/>
  <c r="P366" i="5" l="1"/>
  <c r="C366" i="5"/>
  <c r="L366" i="5" s="1"/>
  <c r="D366" i="5"/>
  <c r="A366" i="5" s="1"/>
  <c r="B2" i="21" l="1"/>
  <c r="B3" i="21"/>
  <c r="B4" i="21"/>
  <c r="B5" i="21"/>
  <c r="C4" i="21"/>
  <c r="B4" i="22"/>
  <c r="C6" i="22"/>
  <c r="D1" i="22"/>
  <c r="I8" i="22"/>
  <c r="G4" i="22"/>
  <c r="L8" i="22"/>
  <c r="E8" i="22"/>
  <c r="C8" i="22" s="1"/>
  <c r="E7" i="22"/>
  <c r="R366" i="5"/>
  <c r="M366" i="5"/>
  <c r="A3" i="20" a="1"/>
  <c r="O366" i="5"/>
  <c r="S366" i="5"/>
  <c r="Q366" i="5"/>
  <c r="N366" i="5"/>
  <c r="BO8" i="20" l="1"/>
  <c r="BV8" i="20"/>
  <c r="BS9" i="20"/>
  <c r="BU9" i="20"/>
  <c r="BO10" i="20"/>
  <c r="BV10" i="20"/>
  <c r="AZ8" i="20"/>
  <c r="BC8" i="20"/>
  <c r="BB9" i="20"/>
  <c r="AX10" i="20"/>
  <c r="BA10" i="20"/>
  <c r="BD10" i="20"/>
  <c r="AE8" i="20"/>
  <c r="AF8" i="20"/>
  <c r="AG8" i="20"/>
  <c r="AH8" i="20"/>
  <c r="AI8" i="20"/>
  <c r="AJ8" i="20"/>
  <c r="AK8" i="20"/>
  <c r="AL8" i="20"/>
  <c r="AM8" i="20"/>
  <c r="AE9" i="20"/>
  <c r="AF9" i="20"/>
  <c r="AG9" i="20"/>
  <c r="AH9" i="20"/>
  <c r="AI9" i="20"/>
  <c r="AJ9" i="20"/>
  <c r="AK9" i="20"/>
  <c r="AL9" i="20"/>
  <c r="AM9" i="20"/>
  <c r="AE10" i="20"/>
  <c r="AF10" i="20"/>
  <c r="AG10" i="20"/>
  <c r="AH10" i="20"/>
  <c r="AI10" i="20"/>
  <c r="AJ10" i="20"/>
  <c r="AK10" i="20"/>
  <c r="AL10" i="20"/>
  <c r="AM10" i="20"/>
  <c r="BT8" i="20"/>
  <c r="BP9" i="20"/>
  <c r="BT9" i="20"/>
  <c r="BS10" i="20"/>
  <c r="BT10" i="20"/>
  <c r="AY8" i="20"/>
  <c r="BE8" i="20"/>
  <c r="AY9" i="20"/>
  <c r="BA9" i="20"/>
  <c r="AW10" i="20"/>
  <c r="BC10" i="20"/>
  <c r="BR8" i="20"/>
  <c r="BW8" i="20"/>
  <c r="BR9" i="20"/>
  <c r="BQ10" i="20"/>
  <c r="BA8" i="20"/>
  <c r="AX9" i="20"/>
  <c r="BC9" i="20"/>
  <c r="BQ8" i="20"/>
  <c r="BS8" i="20"/>
  <c r="BO9" i="20"/>
  <c r="BW9" i="20"/>
  <c r="BR10" i="20"/>
  <c r="BW10" i="20"/>
  <c r="AX8" i="20"/>
  <c r="BB8" i="20"/>
  <c r="AW9" i="20"/>
  <c r="AZ9" i="20"/>
  <c r="BD9" i="20"/>
  <c r="AZ10" i="20"/>
  <c r="BE10" i="20"/>
  <c r="BP8" i="20"/>
  <c r="BU8" i="20"/>
  <c r="BQ9" i="20"/>
  <c r="BV9" i="20"/>
  <c r="BP10" i="20"/>
  <c r="BU10" i="20"/>
  <c r="AW8" i="20"/>
  <c r="BD8" i="20"/>
  <c r="BE9" i="20"/>
  <c r="AY10" i="20"/>
  <c r="BB10" i="20"/>
  <c r="AD10" i="20"/>
  <c r="AQ10" i="20"/>
  <c r="T10" i="20"/>
  <c r="AN10" i="20"/>
  <c r="BJ10" i="20"/>
  <c r="AT10" i="20"/>
  <c r="BI10" i="20"/>
  <c r="U10" i="20"/>
  <c r="V10" i="20"/>
  <c r="Q10" i="20"/>
  <c r="Z10" i="20"/>
  <c r="BK10" i="20"/>
  <c r="AB10" i="20"/>
  <c r="Y10" i="20"/>
  <c r="M10" i="20"/>
  <c r="N10" i="20"/>
  <c r="W10" i="20"/>
  <c r="BN10" i="20"/>
  <c r="AS10" i="20"/>
  <c r="R10" i="20"/>
  <c r="AO10" i="20"/>
  <c r="O10" i="20"/>
  <c r="AA10" i="20"/>
  <c r="BF10" i="20"/>
  <c r="BG10" i="20"/>
  <c r="X10" i="20"/>
  <c r="AU10" i="20"/>
  <c r="AC10" i="20"/>
  <c r="BH10" i="20"/>
  <c r="AP10" i="20"/>
  <c r="S10" i="20"/>
  <c r="L10" i="20"/>
  <c r="P10" i="20"/>
  <c r="BM10" i="20"/>
  <c r="AR10" i="20"/>
  <c r="AV10" i="20"/>
  <c r="BL10" i="20"/>
  <c r="BM9" i="20"/>
  <c r="AN9" i="20"/>
  <c r="BJ8" i="20"/>
  <c r="Q8" i="20"/>
  <c r="AA8" i="20"/>
  <c r="BH8" i="20"/>
  <c r="P8" i="20"/>
  <c r="T8" i="20"/>
  <c r="AA9" i="20"/>
  <c r="BN9" i="20"/>
  <c r="X9" i="20"/>
  <c r="L9" i="20"/>
  <c r="AS9" i="20"/>
  <c r="O9" i="20"/>
  <c r="AO9" i="20"/>
  <c r="U8" i="20"/>
  <c r="AT8" i="20"/>
  <c r="Z8" i="20"/>
  <c r="Y8" i="20"/>
  <c r="N8" i="20"/>
  <c r="BH9" i="20"/>
  <c r="N9" i="20"/>
  <c r="BL9" i="20"/>
  <c r="AR9" i="20"/>
  <c r="BJ9" i="20"/>
  <c r="AQ9" i="20"/>
  <c r="P9" i="20"/>
  <c r="M9" i="20"/>
  <c r="AD9" i="20"/>
  <c r="O8" i="20"/>
  <c r="V8" i="20"/>
  <c r="W8" i="20"/>
  <c r="AP8" i="20"/>
  <c r="T9" i="20"/>
  <c r="S9" i="20"/>
  <c r="U9" i="20"/>
  <c r="V9" i="20"/>
  <c r="BG9" i="20"/>
  <c r="AP9" i="20"/>
  <c r="BN8" i="20"/>
  <c r="AO8" i="20"/>
  <c r="S8" i="20"/>
  <c r="BI8" i="20"/>
  <c r="AC8" i="20"/>
  <c r="BL8" i="20"/>
  <c r="Z9" i="20"/>
  <c r="R9" i="20"/>
  <c r="AB9" i="20"/>
  <c r="AV9" i="20"/>
  <c r="BK9" i="20"/>
  <c r="AC9" i="20"/>
  <c r="Y9" i="20"/>
  <c r="AU9" i="20"/>
  <c r="AU8" i="20"/>
  <c r="AV8" i="20"/>
  <c r="AN8" i="20"/>
  <c r="AR8" i="20"/>
  <c r="L8" i="20"/>
  <c r="AD8" i="20"/>
  <c r="M8" i="20"/>
  <c r="BF9" i="20"/>
  <c r="W9" i="20"/>
  <c r="Q9" i="20"/>
  <c r="AT9" i="20"/>
  <c r="BI9" i="20"/>
  <c r="AS8" i="20"/>
  <c r="X8" i="20"/>
  <c r="BF8" i="20"/>
  <c r="AB8" i="20"/>
  <c r="AQ8" i="20"/>
  <c r="BG8" i="20"/>
  <c r="R8" i="20"/>
  <c r="BK8" i="20"/>
  <c r="BM8" i="20"/>
  <c r="BP7" i="20"/>
  <c r="BB4" i="20"/>
  <c r="BN7" i="20"/>
  <c r="BB7" i="20"/>
  <c r="O4" i="20"/>
  <c r="BI4" i="20"/>
  <c r="X6" i="20"/>
  <c r="AD6" i="20"/>
  <c r="AM4" i="20"/>
  <c r="M4" i="20"/>
  <c r="AB4" i="20"/>
  <c r="BW4" i="20"/>
  <c r="S6" i="20"/>
  <c r="BK6" i="20"/>
  <c r="AJ5" i="20"/>
  <c r="AU4" i="20"/>
  <c r="AC6" i="20"/>
  <c r="BA5" i="20"/>
  <c r="BC5" i="20"/>
  <c r="BJ6" i="20"/>
  <c r="BS5" i="20"/>
  <c r="P4" i="20"/>
  <c r="O7" i="20"/>
  <c r="AB5" i="20"/>
  <c r="AP5" i="20"/>
  <c r="O5" i="20"/>
  <c r="Z5" i="20"/>
  <c r="BD5" i="20"/>
  <c r="AZ4" i="20"/>
  <c r="AP6" i="20"/>
  <c r="AQ7" i="20"/>
  <c r="S7" i="20"/>
  <c r="BS4" i="20"/>
  <c r="AG6" i="20"/>
  <c r="BT6" i="20"/>
  <c r="Q6" i="20"/>
  <c r="M6" i="20"/>
  <c r="AZ7" i="20"/>
  <c r="BE7" i="20"/>
  <c r="AP4" i="20"/>
  <c r="AW6" i="20"/>
  <c r="AF6" i="20"/>
  <c r="AU7" i="20"/>
  <c r="AO6" i="20"/>
  <c r="BT7" i="20"/>
  <c r="BC7" i="20"/>
  <c r="AY4" i="20"/>
  <c r="BM5" i="20"/>
  <c r="AN6" i="20"/>
  <c r="AX5" i="20"/>
  <c r="AZ6" i="20"/>
  <c r="AM6" i="20"/>
  <c r="V5" i="20"/>
  <c r="AP7" i="20"/>
  <c r="AI5" i="20"/>
  <c r="AM5" i="20"/>
  <c r="AK7" i="20"/>
  <c r="BM7" i="20"/>
  <c r="BT4" i="20"/>
  <c r="AR5" i="20"/>
  <c r="BO7" i="20"/>
  <c r="BA4" i="20"/>
  <c r="BA7" i="20"/>
  <c r="BL6" i="20"/>
  <c r="BS6" i="20"/>
  <c r="BR6" i="20"/>
  <c r="BU5" i="20"/>
  <c r="BK7" i="20"/>
  <c r="BE5" i="20"/>
  <c r="AX7" i="20"/>
  <c r="BU7" i="20"/>
  <c r="AJ4" i="20"/>
  <c r="N4" i="20"/>
  <c r="AV5" i="20"/>
  <c r="Y4" i="20"/>
  <c r="AB6" i="20"/>
  <c r="AL6" i="20"/>
  <c r="BV7" i="20"/>
  <c r="AO5" i="20"/>
  <c r="L4" i="20"/>
  <c r="Z6" i="20"/>
  <c r="BV4" i="20"/>
  <c r="T7" i="20"/>
  <c r="AD5" i="20"/>
  <c r="AU6" i="20"/>
  <c r="AL4" i="20"/>
  <c r="BU6" i="20"/>
  <c r="R6" i="20"/>
  <c r="AS5" i="20"/>
  <c r="AC5" i="20"/>
  <c r="BC4" i="20"/>
  <c r="Y5" i="20"/>
  <c r="AT4" i="20"/>
  <c r="BH5" i="20"/>
  <c r="BF7" i="20"/>
  <c r="BV6" i="20"/>
  <c r="BR7" i="20"/>
  <c r="BG7" i="20"/>
  <c r="BO5" i="20"/>
  <c r="BL4" i="20"/>
  <c r="AQ6" i="20"/>
  <c r="AG4" i="20"/>
  <c r="AW5" i="20"/>
  <c r="U7" i="20"/>
  <c r="AS7" i="20"/>
  <c r="AE7" i="20"/>
  <c r="BQ7" i="20"/>
  <c r="AN4" i="20"/>
  <c r="AD7" i="20"/>
  <c r="AQ4" i="20"/>
  <c r="W6" i="20"/>
  <c r="AW4" i="20"/>
  <c r="BH4" i="20"/>
  <c r="BO4" i="20"/>
  <c r="AV4" i="20"/>
  <c r="BI7" i="20"/>
  <c r="BQ6" i="20"/>
  <c r="AL7" i="20"/>
  <c r="AC4" i="20"/>
  <c r="AY5" i="20"/>
  <c r="N7" i="20"/>
  <c r="W7" i="20"/>
  <c r="AX4" i="20"/>
  <c r="AY6" i="20"/>
  <c r="AH7" i="20"/>
  <c r="X4" i="20"/>
  <c r="BA6" i="20"/>
  <c r="BS7" i="20"/>
  <c r="Q5" i="20"/>
  <c r="AS4" i="20"/>
  <c r="AE5" i="20"/>
  <c r="AR6" i="20"/>
  <c r="P7" i="20"/>
  <c r="AD4" i="20"/>
  <c r="X5" i="20"/>
  <c r="BG6" i="20"/>
  <c r="U4" i="20"/>
  <c r="AS6" i="20"/>
  <c r="R4" i="20"/>
  <c r="T5" i="20"/>
  <c r="Q4" i="20"/>
  <c r="AH6" i="20"/>
  <c r="AO7" i="20"/>
  <c r="AK4" i="20"/>
  <c r="AV7" i="20"/>
  <c r="BW5" i="20"/>
  <c r="S4" i="20"/>
  <c r="BN5" i="20"/>
  <c r="BC6" i="20"/>
  <c r="BR5" i="20"/>
  <c r="BN6" i="20"/>
  <c r="AL5" i="20"/>
  <c r="BV5" i="20"/>
  <c r="BQ5" i="20"/>
  <c r="AC7" i="20"/>
  <c r="V4" i="20"/>
  <c r="AH5" i="20"/>
  <c r="AO4" i="20"/>
  <c r="V7" i="20"/>
  <c r="AT5" i="20"/>
  <c r="AA4" i="20"/>
  <c r="BL7" i="20"/>
  <c r="AZ5" i="20"/>
  <c r="AI6" i="20"/>
  <c r="AF7" i="20"/>
  <c r="W4" i="20"/>
  <c r="AY7" i="20"/>
  <c r="BH7" i="20"/>
  <c r="BH6" i="20"/>
  <c r="Y7" i="20"/>
  <c r="AK6" i="20"/>
  <c r="AK5" i="20"/>
  <c r="AR4" i="20"/>
  <c r="AI7" i="20"/>
  <c r="O6" i="20"/>
  <c r="AU5" i="20"/>
  <c r="BK5" i="20"/>
  <c r="AH4" i="20"/>
  <c r="BL5" i="20"/>
  <c r="BD6" i="20"/>
  <c r="AG7" i="20"/>
  <c r="M7" i="20"/>
  <c r="AJ7" i="20"/>
  <c r="Y6" i="20"/>
  <c r="Q7" i="20"/>
  <c r="AF5" i="20"/>
  <c r="AN7" i="20"/>
  <c r="BQ4" i="20"/>
  <c r="AA6" i="20"/>
  <c r="AX6" i="20"/>
  <c r="BI5" i="20"/>
  <c r="AE6" i="20"/>
  <c r="BP4" i="20"/>
  <c r="BO6" i="20"/>
  <c r="AT7" i="20"/>
  <c r="L5" i="20"/>
  <c r="AJ6" i="20"/>
  <c r="BK4" i="20"/>
  <c r="Z7" i="20"/>
  <c r="AR7" i="20"/>
  <c r="AG5" i="20"/>
  <c r="BM6" i="20"/>
  <c r="N5" i="20"/>
  <c r="BG4" i="20"/>
  <c r="W5" i="20"/>
  <c r="S5" i="20"/>
  <c r="BB6" i="20"/>
  <c r="BR4" i="20"/>
  <c r="X7" i="20"/>
  <c r="M5" i="20"/>
  <c r="AA7" i="20"/>
  <c r="BD4" i="20"/>
  <c r="U6" i="20"/>
  <c r="AF4" i="20"/>
  <c r="AB7" i="20"/>
  <c r="R7" i="20"/>
  <c r="N6" i="20"/>
  <c r="BU4" i="20"/>
  <c r="BE6" i="20"/>
  <c r="AW7" i="20"/>
  <c r="P5" i="20"/>
  <c r="AN5" i="20"/>
  <c r="AI4" i="20"/>
  <c r="BP6" i="20"/>
  <c r="BP5" i="20"/>
  <c r="BI6" i="20"/>
  <c r="Z4" i="20"/>
  <c r="BW6" i="20"/>
  <c r="BF4" i="20"/>
  <c r="L6" i="20"/>
  <c r="AA5" i="20"/>
  <c r="AV6" i="20"/>
  <c r="V6" i="20"/>
  <c r="AT6" i="20"/>
  <c r="BJ5" i="20"/>
  <c r="P6" i="20"/>
  <c r="U5" i="20"/>
  <c r="BN4" i="20"/>
  <c r="T6" i="20"/>
  <c r="BJ4" i="20"/>
  <c r="L7" i="20"/>
  <c r="BJ7" i="20"/>
  <c r="BF6" i="20"/>
  <c r="BB5" i="20"/>
  <c r="R5" i="20"/>
  <c r="BD7" i="20"/>
  <c r="BW7" i="20"/>
  <c r="T4" i="20"/>
  <c r="BG5" i="20"/>
  <c r="BM4" i="20"/>
  <c r="AQ5" i="20"/>
  <c r="BE4" i="20"/>
  <c r="AM7" i="20"/>
  <c r="AE4" i="20"/>
  <c r="BT5" i="20"/>
  <c r="BF5" i="20"/>
  <c r="BM3" i="20" l="1"/>
  <c r="AQ3" i="20"/>
  <c r="BI3" i="20"/>
  <c r="L3" i="20"/>
  <c r="BF3" i="20"/>
  <c r="U3" i="20"/>
  <c r="AH3" i="20"/>
  <c r="Q3" i="20"/>
  <c r="AK3" i="20"/>
  <c r="BD3" i="20"/>
  <c r="BN3" i="20"/>
  <c r="AY3" i="20"/>
  <c r="AE3" i="20"/>
  <c r="O3" i="20"/>
  <c r="P3" i="20"/>
  <c r="AA3" i="20"/>
  <c r="V3" i="20"/>
  <c r="AI3" i="20"/>
  <c r="T3" i="20"/>
  <c r="AS3" i="20"/>
  <c r="BG3" i="20"/>
  <c r="AJ3" i="20"/>
  <c r="AO3" i="20"/>
  <c r="AC3" i="20"/>
  <c r="AB3" i="20"/>
  <c r="S3" i="20"/>
  <c r="AU3" i="20"/>
  <c r="AW3" i="20"/>
  <c r="BV3" i="20"/>
  <c r="BP3" i="20"/>
  <c r="BW3" i="20"/>
  <c r="AM3" i="20"/>
  <c r="BT3" i="20"/>
  <c r="BS3" i="20"/>
  <c r="AF3" i="20"/>
  <c r="BO3" i="20"/>
  <c r="BK3" i="20"/>
  <c r="M3" i="20"/>
  <c r="AV3" i="20"/>
  <c r="BC3" i="20"/>
  <c r="AD3" i="20"/>
  <c r="AZ3" i="20"/>
  <c r="AX3" i="20"/>
  <c r="Z3" i="20"/>
  <c r="BU3" i="20"/>
  <c r="N3" i="20"/>
  <c r="Y3" i="20"/>
  <c r="W3" i="20"/>
  <c r="AR3" i="20"/>
  <c r="AT3" i="20"/>
  <c r="BE3" i="20"/>
  <c r="BQ3" i="20"/>
  <c r="BL3" i="20"/>
  <c r="BA3" i="20"/>
  <c r="BH3" i="20"/>
  <c r="AG3" i="20"/>
  <c r="AL3" i="20"/>
  <c r="X3" i="20"/>
  <c r="AN3" i="20"/>
  <c r="AP3" i="20"/>
  <c r="R3" i="20"/>
  <c r="BJ3" i="20"/>
  <c r="BB3" i="20"/>
  <c r="BR3" i="20"/>
  <c r="H41" i="22" l="1"/>
  <c r="J41" i="22"/>
  <c r="H40" i="22"/>
  <c r="F41" i="22"/>
  <c r="E52" i="22"/>
  <c r="K52" i="22"/>
  <c r="J40" i="22"/>
  <c r="F40" i="22"/>
  <c r="H5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tc={C9D4AD44-9040-4293-8F68-56F7D6F36375}</author>
    <author>A</author>
  </authors>
  <commentList>
    <comment ref="G64" authorId="0" shapeId="0" xr:uid="{C9D4AD44-9040-4293-8F68-56F7D6F36375}">
      <text>
        <t>[스레드 댓글]
사용 중인 버전의 Excel에서 이 스레드 댓글을 읽을 수 있지만 파일을 이후 버전의 Excel에서 열면 편집 내용이 모두 제거됩니다. 자세한 정보: https://go.microsoft.com/fwlink/?linkid=870924.
댓글:
    기존 제품도 실험의뢰시 개발_품목 파일에 추가해 주셔야합니다.  개발과 관련하여 정해진 프로세스로 작성해 주셔야 다음 공정이 진행이 됩니다.</t>
      </text>
    </comment>
    <comment ref="C236" authorId="1" shapeId="0" xr:uid="{76A4C68F-C486-4696-BD0A-B7075F8AC5A1}">
      <text>
        <r>
          <rPr>
            <b/>
            <sz val="9"/>
            <color indexed="81"/>
            <rFont val="Tahoma"/>
            <family val="2"/>
          </rPr>
          <t>A:</t>
        </r>
        <r>
          <rPr>
            <sz val="9"/>
            <color indexed="81"/>
            <rFont val="Tahoma"/>
            <family val="2"/>
          </rPr>
          <t xml:space="preserve">
</t>
        </r>
        <r>
          <rPr>
            <sz val="9"/>
            <color indexed="81"/>
            <rFont val="돋움"/>
            <family val="3"/>
            <charset val="129"/>
          </rPr>
          <t>제품</t>
        </r>
        <r>
          <rPr>
            <sz val="9"/>
            <color indexed="81"/>
            <rFont val="Tahoma"/>
            <family val="2"/>
          </rPr>
          <t xml:space="preserve"> </t>
        </r>
        <r>
          <rPr>
            <sz val="9"/>
            <color indexed="81"/>
            <rFont val="돋움"/>
            <family val="3"/>
            <charset val="129"/>
          </rPr>
          <t>변경됨</t>
        </r>
      </text>
    </comment>
    <comment ref="C237" authorId="1" shapeId="0" xr:uid="{C9E3A835-0BF6-4616-A682-4B6943E86F0F}">
      <text>
        <r>
          <rPr>
            <b/>
            <sz val="9"/>
            <color indexed="81"/>
            <rFont val="Tahoma"/>
            <family val="2"/>
          </rPr>
          <t>A:</t>
        </r>
        <r>
          <rPr>
            <sz val="9"/>
            <color indexed="81"/>
            <rFont val="Tahoma"/>
            <family val="2"/>
          </rPr>
          <t xml:space="preserve">
</t>
        </r>
        <r>
          <rPr>
            <sz val="9"/>
            <color indexed="81"/>
            <rFont val="돋움"/>
            <family val="3"/>
            <charset val="129"/>
          </rPr>
          <t>제품</t>
        </r>
        <r>
          <rPr>
            <sz val="9"/>
            <color indexed="81"/>
            <rFont val="Tahoma"/>
            <family val="2"/>
          </rPr>
          <t xml:space="preserve"> </t>
        </r>
        <r>
          <rPr>
            <sz val="9"/>
            <color indexed="81"/>
            <rFont val="돋움"/>
            <family val="3"/>
            <charset val="129"/>
          </rPr>
          <t>변경</t>
        </r>
        <r>
          <rPr>
            <sz val="9"/>
            <color indexed="81"/>
            <rFont val="Tahoma"/>
            <family val="2"/>
          </rPr>
          <t xml:space="preserve"> </t>
        </r>
        <r>
          <rPr>
            <sz val="9"/>
            <color indexed="81"/>
            <rFont val="돋움"/>
            <family val="3"/>
            <charset val="129"/>
          </rPr>
          <t>됨</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2A8BE3-6153-49A9-A48F-8059EF3E55E0}" keepAlive="1" name="쿼리 - BOM_개발품목" description="통합 문서의 'BOM_개발품목' 쿼리에 대한 연결입니다." type="5" refreshedVersion="8" background="1" saveData="1">
    <dbPr connection="Provider=Microsoft.Mashup.OleDb.1;Data Source=$Workbook$;Location=BOM_개발품목;Extended Properties=&quot;&quot;" command="SELECT * FROM [BOM_개발품목]"/>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<sst xmlns="http://schemas.openxmlformats.org/spreadsheetml/2006/main" count="4824" uniqueCount="1843">
  <si>
    <t>제품명</t>
    <phoneticPr fontId="1" type="noConversion"/>
  </si>
  <si>
    <t>도번</t>
    <phoneticPr fontId="1" type="noConversion"/>
  </si>
  <si>
    <t>금형번호</t>
    <phoneticPr fontId="1" type="noConversion"/>
  </si>
  <si>
    <t>목적</t>
    <phoneticPr fontId="1" type="noConversion"/>
  </si>
  <si>
    <t>수량</t>
    <phoneticPr fontId="1" type="noConversion"/>
  </si>
  <si>
    <t>납기일</t>
    <phoneticPr fontId="1" type="noConversion"/>
  </si>
  <si>
    <t>원료명</t>
    <phoneticPr fontId="1" type="noConversion"/>
  </si>
  <si>
    <t>MB</t>
    <phoneticPr fontId="1" type="noConversion"/>
  </si>
  <si>
    <t>함량</t>
    <phoneticPr fontId="1" type="noConversion"/>
  </si>
  <si>
    <t>금형코드</t>
    <phoneticPr fontId="1" type="noConversion"/>
  </si>
  <si>
    <t>의뢰코드</t>
    <phoneticPr fontId="1" type="noConversion"/>
  </si>
  <si>
    <t>품목코드</t>
    <phoneticPr fontId="1" type="noConversion"/>
  </si>
  <si>
    <t>실험원료</t>
    <phoneticPr fontId="1" type="noConversion"/>
  </si>
  <si>
    <t>실험MB</t>
    <phoneticPr fontId="1" type="noConversion"/>
  </si>
  <si>
    <t>실험함량</t>
    <phoneticPr fontId="1" type="noConversion"/>
  </si>
  <si>
    <t>실험일자</t>
    <phoneticPr fontId="1" type="noConversion"/>
  </si>
  <si>
    <t>㈜선일</t>
    <phoneticPr fontId="1" type="noConversion"/>
  </si>
  <si>
    <t>실험자</t>
    <phoneticPr fontId="1" type="noConversion"/>
  </si>
  <si>
    <t>의뢰번호</t>
    <phoneticPr fontId="1" type="noConversion"/>
  </si>
  <si>
    <t>제품코드</t>
    <phoneticPr fontId="1" type="noConversion"/>
  </si>
  <si>
    <t>실험목적</t>
    <phoneticPr fontId="1" type="noConversion"/>
  </si>
  <si>
    <t>실험호기</t>
    <phoneticPr fontId="1" type="noConversion"/>
  </si>
  <si>
    <t>실험원료</t>
  </si>
  <si>
    <t>실험MB</t>
  </si>
  <si>
    <t>실험함량</t>
  </si>
  <si>
    <t>사출</t>
    <phoneticPr fontId="1" type="noConversion"/>
  </si>
  <si>
    <t>보압</t>
    <phoneticPr fontId="1" type="noConversion"/>
  </si>
  <si>
    <t>계량</t>
    <phoneticPr fontId="1" type="noConversion"/>
  </si>
  <si>
    <t>온도</t>
    <phoneticPr fontId="1" type="noConversion"/>
  </si>
  <si>
    <t>제품
정보</t>
    <phoneticPr fontId="13" type="noConversion"/>
  </si>
  <si>
    <t>금형제작처</t>
  </si>
  <si>
    <t>제품중량</t>
    <phoneticPr fontId="1" type="noConversion"/>
  </si>
  <si>
    <t>양산사출처</t>
  </si>
  <si>
    <t>런너중량</t>
    <phoneticPr fontId="1" type="noConversion"/>
  </si>
  <si>
    <t>포장재 개발팀</t>
    <phoneticPr fontId="1" type="noConversion"/>
  </si>
  <si>
    <t>감리처</t>
  </si>
  <si>
    <t xml:space="preserve">호기 </t>
    <phoneticPr fontId="1" type="noConversion"/>
  </si>
  <si>
    <t>CAVITY</t>
    <phoneticPr fontId="13" type="noConversion"/>
  </si>
  <si>
    <t>사출 RESIN</t>
    <phoneticPr fontId="1" type="noConversion"/>
  </si>
  <si>
    <t>MB정보</t>
    <phoneticPr fontId="1" type="noConversion"/>
  </si>
  <si>
    <t>실험</t>
    <phoneticPr fontId="1" type="noConversion"/>
  </si>
  <si>
    <t>단계</t>
    <phoneticPr fontId="1" type="noConversion"/>
  </si>
  <si>
    <t>속도(mm/s)</t>
    <phoneticPr fontId="1" type="noConversion"/>
  </si>
  <si>
    <t>압력(bar)</t>
    <phoneticPr fontId="1" type="noConversion"/>
  </si>
  <si>
    <t>거리</t>
    <phoneticPr fontId="1" type="noConversion"/>
  </si>
  <si>
    <t>쿠션(mm)</t>
    <phoneticPr fontId="1" type="noConversion"/>
  </si>
  <si>
    <t>시간(S)</t>
    <phoneticPr fontId="1" type="noConversion"/>
  </si>
  <si>
    <t>RPM(%)</t>
    <phoneticPr fontId="1" type="noConversion"/>
  </si>
  <si>
    <t>배압</t>
    <phoneticPr fontId="1" type="noConversion"/>
  </si>
  <si>
    <t>● 실린더</t>
  </si>
  <si>
    <t>NH</t>
    <phoneticPr fontId="1" type="noConversion"/>
  </si>
  <si>
    <t>N1</t>
    <phoneticPr fontId="1" type="noConversion"/>
  </si>
  <si>
    <t>N2</t>
    <phoneticPr fontId="1" type="noConversion"/>
  </si>
  <si>
    <t>N3</t>
    <phoneticPr fontId="1" type="noConversion"/>
  </si>
  <si>
    <t>N4</t>
    <phoneticPr fontId="1" type="noConversion"/>
  </si>
  <si>
    <t>설정</t>
    <phoneticPr fontId="1" type="noConversion"/>
  </si>
  <si>
    <t>● H/R</t>
    <phoneticPr fontId="1" type="noConversion"/>
  </si>
  <si>
    <t xml:space="preserve">     ● 금형 온도</t>
    <phoneticPr fontId="1" type="noConversion"/>
  </si>
  <si>
    <t>CYCLE
TIME</t>
    <phoneticPr fontId="1" type="noConversion"/>
  </si>
  <si>
    <t>사출(충진)</t>
    <phoneticPr fontId="1" type="noConversion"/>
  </si>
  <si>
    <t>냉각</t>
    <phoneticPr fontId="1" type="noConversion"/>
  </si>
  <si>
    <t>회전</t>
    <phoneticPr fontId="1" type="noConversion"/>
  </si>
  <si>
    <t>C/T</t>
    <phoneticPr fontId="1" type="noConversion"/>
  </si>
  <si>
    <t>1차</t>
    <phoneticPr fontId="1" type="noConversion"/>
  </si>
  <si>
    <t>2차</t>
    <phoneticPr fontId="1" type="noConversion"/>
  </si>
  <si>
    <t>[중요부위 치수 점검 내용]</t>
    <phoneticPr fontId="1" type="noConversion"/>
  </si>
  <si>
    <t>샘플No</t>
    <phoneticPr fontId="1" type="noConversion"/>
  </si>
  <si>
    <t>중요부 측정 규격 (mm)</t>
    <phoneticPr fontId="1" type="noConversion"/>
  </si>
  <si>
    <t>도면규격</t>
    <phoneticPr fontId="1" type="noConversion"/>
  </si>
  <si>
    <t>중점A</t>
    <phoneticPr fontId="1" type="noConversion"/>
  </si>
  <si>
    <t>중점B</t>
    <phoneticPr fontId="1" type="noConversion"/>
  </si>
  <si>
    <t>중점C</t>
    <phoneticPr fontId="1" type="noConversion"/>
  </si>
  <si>
    <t>SI1538_20241008</t>
  </si>
  <si>
    <t>실험지시일자</t>
    <phoneticPr fontId="1" type="noConversion"/>
  </si>
  <si>
    <t>장세래</t>
    <phoneticPr fontId="1" type="noConversion"/>
  </si>
  <si>
    <t>PETG</t>
    <phoneticPr fontId="1" type="noConversion"/>
  </si>
  <si>
    <t>SW241007-3</t>
    <phoneticPr fontId="1" type="noConversion"/>
  </si>
  <si>
    <t>WHITE(오딧세이쳅터)</t>
  </si>
  <si>
    <t>품명</t>
    <phoneticPr fontId="1" type="noConversion"/>
  </si>
  <si>
    <t>mm</t>
    <phoneticPr fontId="1" type="noConversion"/>
  </si>
  <si>
    <t>석백전</t>
    <phoneticPr fontId="1" type="noConversion"/>
  </si>
  <si>
    <t>석백후</t>
    <phoneticPr fontId="1" type="noConversion"/>
  </si>
  <si>
    <t>번호</t>
    <phoneticPr fontId="1" type="noConversion"/>
  </si>
  <si>
    <t>특이사항</t>
    <phoneticPr fontId="1" type="noConversion"/>
  </si>
  <si>
    <t>취출방법</t>
    <phoneticPr fontId="1" type="noConversion"/>
  </si>
  <si>
    <t>C/T_1차</t>
    <phoneticPr fontId="1" type="noConversion"/>
  </si>
  <si>
    <t>A</t>
    <phoneticPr fontId="1" type="noConversion"/>
  </si>
  <si>
    <t>B</t>
    <phoneticPr fontId="1" type="noConversion"/>
  </si>
  <si>
    <t>C</t>
    <phoneticPr fontId="1" type="noConversion"/>
  </si>
  <si>
    <t>A_1</t>
    <phoneticPr fontId="1" type="noConversion"/>
  </si>
  <si>
    <t>A_2</t>
  </si>
  <si>
    <t>A_3</t>
  </si>
  <si>
    <t>A_4</t>
  </si>
  <si>
    <t>A_5</t>
  </si>
  <si>
    <t>A_6</t>
  </si>
  <si>
    <t>A_7</t>
  </si>
  <si>
    <t>A_8</t>
  </si>
  <si>
    <t>B_1</t>
    <phoneticPr fontId="1" type="noConversion"/>
  </si>
  <si>
    <t>B_2</t>
  </si>
  <si>
    <t>B_3</t>
  </si>
  <si>
    <t>B_4</t>
  </si>
  <si>
    <t>B_5</t>
  </si>
  <si>
    <t>B_6</t>
  </si>
  <si>
    <t>B_7</t>
  </si>
  <si>
    <t>B_8</t>
  </si>
  <si>
    <t>C_1</t>
    <phoneticPr fontId="1" type="noConversion"/>
  </si>
  <si>
    <t>C_2</t>
  </si>
  <si>
    <t>C_3</t>
  </si>
  <si>
    <t>C_4</t>
  </si>
  <si>
    <t>C_5</t>
  </si>
  <si>
    <t>C_6</t>
  </si>
  <si>
    <t>C_7</t>
  </si>
  <si>
    <t>C_8</t>
  </si>
  <si>
    <t>SI1543_20241014</t>
  </si>
  <si>
    <t>한창구</t>
    <phoneticPr fontId="1" type="noConversion"/>
  </si>
  <si>
    <t>J-560S,560K</t>
    <phoneticPr fontId="1" type="noConversion"/>
  </si>
  <si>
    <t>슈바내용기 MB 2%, 신원 240911-1</t>
    <phoneticPr fontId="1" type="noConversion"/>
  </si>
  <si>
    <t>SI1541_20241014</t>
  </si>
  <si>
    <t>투명</t>
    <phoneticPr fontId="1" type="noConversion"/>
  </si>
  <si>
    <t>제품중량1</t>
    <phoneticPr fontId="1" type="noConversion"/>
  </si>
  <si>
    <t>제품중량2</t>
  </si>
  <si>
    <t>제품중량3</t>
  </si>
  <si>
    <t>제품중량4</t>
  </si>
  <si>
    <t>제품중량5</t>
  </si>
  <si>
    <t>제품중량6</t>
  </si>
  <si>
    <t>제품중량7</t>
  </si>
  <si>
    <t>제품중량8</t>
  </si>
  <si>
    <t>중량1</t>
    <phoneticPr fontId="1" type="noConversion"/>
  </si>
  <si>
    <t>중량2</t>
    <phoneticPr fontId="1" type="noConversion"/>
  </si>
  <si>
    <t>중량3</t>
  </si>
  <si>
    <t>중량4</t>
  </si>
  <si>
    <t>중량5</t>
  </si>
  <si>
    <t>중량6</t>
  </si>
  <si>
    <t>중량7</t>
  </si>
  <si>
    <t>중량8</t>
  </si>
  <si>
    <t>max</t>
    <phoneticPr fontId="1" type="noConversion"/>
  </si>
  <si>
    <t>평균</t>
    <phoneticPr fontId="1" type="noConversion"/>
  </si>
  <si>
    <t>구분</t>
    <phoneticPr fontId="1" type="noConversion"/>
  </si>
  <si>
    <t>즉시</t>
  </si>
  <si>
    <t>즉시</t>
    <phoneticPr fontId="1" type="noConversion"/>
  </si>
  <si>
    <t>24H후</t>
  </si>
  <si>
    <t>24H후</t>
    <phoneticPr fontId="1" type="noConversion"/>
  </si>
  <si>
    <t>요청수량</t>
    <phoneticPr fontId="1" type="noConversion"/>
  </si>
  <si>
    <t>SI1540_20241014</t>
  </si>
  <si>
    <t>PETG PN200</t>
    <phoneticPr fontId="1" type="noConversion"/>
  </si>
  <si>
    <t>[문제점 및 현상]</t>
    <phoneticPr fontId="1" type="noConversion"/>
  </si>
  <si>
    <t>[개선제안]</t>
    <phoneticPr fontId="1" type="noConversion"/>
  </si>
  <si>
    <t>KS360-1</t>
  </si>
  <si>
    <t>SW210728-8</t>
  </si>
  <si>
    <t>DJ119</t>
  </si>
  <si>
    <t>실험요구사항</t>
    <phoneticPr fontId="1" type="noConversion"/>
  </si>
  <si>
    <t>요구사항</t>
    <phoneticPr fontId="1" type="noConversion"/>
  </si>
  <si>
    <t>J-560</t>
    <phoneticPr fontId="1" type="noConversion"/>
  </si>
  <si>
    <t>DW-2360</t>
    <phoneticPr fontId="1" type="noConversion"/>
  </si>
  <si>
    <t>SI0993_20241014</t>
  </si>
  <si>
    <t>SI0992_20241014</t>
  </si>
  <si>
    <t>SI0994_20241014</t>
  </si>
  <si>
    <t>J-560</t>
  </si>
  <si>
    <t>SI1542_20241014</t>
  </si>
  <si>
    <t>SI1538_20241017</t>
  </si>
  <si>
    <t>SI1537_20241017</t>
  </si>
  <si>
    <t>유재호</t>
    <phoneticPr fontId="1" type="noConversion"/>
  </si>
  <si>
    <t>SI1554_20241017</t>
  </si>
  <si>
    <t>SI1553_20241017</t>
  </si>
  <si>
    <t>MP0670</t>
    <phoneticPr fontId="1" type="noConversion"/>
  </si>
  <si>
    <t>SW241017-0</t>
    <phoneticPr fontId="1" type="noConversion"/>
  </si>
  <si>
    <t>톤수</t>
    <phoneticPr fontId="1" type="noConversion"/>
  </si>
  <si>
    <t>실험자 :</t>
    <phoneticPr fontId="1" type="noConversion"/>
  </si>
  <si>
    <t>실험일 :</t>
    <phoneticPr fontId="1" type="noConversion"/>
  </si>
  <si>
    <t>TEST기</t>
  </si>
  <si>
    <t>유재호</t>
  </si>
  <si>
    <t>SI1539_20241017</t>
  </si>
  <si>
    <t>도면버전</t>
    <phoneticPr fontId="1" type="noConversion"/>
  </si>
  <si>
    <t>실험금형번호</t>
    <phoneticPr fontId="1" type="noConversion"/>
  </si>
  <si>
    <t>M241294_02</t>
    <phoneticPr fontId="1" type="noConversion"/>
  </si>
  <si>
    <t>M241296_02</t>
    <phoneticPr fontId="1" type="noConversion"/>
  </si>
  <si>
    <t>M241295_02</t>
    <phoneticPr fontId="1" type="noConversion"/>
  </si>
  <si>
    <t>김도균</t>
    <phoneticPr fontId="1" type="noConversion"/>
  </si>
  <si>
    <t>설화수 진설클렌징폼 견본 40ml (25AD 외캡</t>
  </si>
  <si>
    <t>M241286_01</t>
  </si>
  <si>
    <t>SI1554</t>
  </si>
  <si>
    <t>ABS (롯데첨단소재 SL-0100)</t>
  </si>
  <si>
    <t>신규MB입고</t>
  </si>
  <si>
    <t>SI1554_20241017-1</t>
    <phoneticPr fontId="1" type="noConversion"/>
  </si>
  <si>
    <t>김도균팀장의뢰, 원료 테스트</t>
    <phoneticPr fontId="1" type="noConversion"/>
  </si>
  <si>
    <t>AV20 WH9324</t>
    <phoneticPr fontId="1" type="noConversion"/>
  </si>
  <si>
    <t>SI1554_20241017-2</t>
    <phoneticPr fontId="1" type="noConversion"/>
  </si>
  <si>
    <t>T0003_20241019</t>
  </si>
  <si>
    <t>목분</t>
    <phoneticPr fontId="1" type="noConversion"/>
  </si>
  <si>
    <t>SI1544_20241017</t>
  </si>
  <si>
    <t>SI1545_20241017</t>
  </si>
  <si>
    <t>SI1557_20241026</t>
  </si>
  <si>
    <t>SI1558_20241026</t>
  </si>
  <si>
    <t>SI1559_20241026</t>
  </si>
  <si>
    <t>SI1560_20241026</t>
  </si>
  <si>
    <t>SI1522_20241028</t>
  </si>
  <si>
    <t>SW240521-1</t>
    <phoneticPr fontId="1" type="noConversion"/>
  </si>
  <si>
    <t>PN200</t>
    <phoneticPr fontId="1" type="noConversion"/>
  </si>
  <si>
    <t>SW241017-1</t>
    <phoneticPr fontId="1" type="noConversion"/>
  </si>
  <si>
    <t>DJ241022-5</t>
    <phoneticPr fontId="1" type="noConversion"/>
  </si>
  <si>
    <t>M241155_02</t>
    <phoneticPr fontId="1" type="noConversion"/>
  </si>
  <si>
    <t>SI1519_20241028</t>
  </si>
  <si>
    <t>560K</t>
    <phoneticPr fontId="1" type="noConversion"/>
  </si>
  <si>
    <t>SW240613-10</t>
  </si>
  <si>
    <t>0_20241016</t>
  </si>
  <si>
    <t>Claro200</t>
  </si>
  <si>
    <t>SI1518_20241028</t>
  </si>
  <si>
    <t>SI1518_20241014</t>
  </si>
  <si>
    <t>고정(℃)</t>
    <phoneticPr fontId="1" type="noConversion"/>
  </si>
  <si>
    <t>이동(℃)</t>
    <phoneticPr fontId="1" type="noConversion"/>
  </si>
  <si>
    <t>SI1520_20241028</t>
  </si>
  <si>
    <t>SI1516_20241028</t>
    <phoneticPr fontId="1" type="noConversion"/>
  </si>
  <si>
    <t>SI1540_20241029</t>
  </si>
  <si>
    <t>SI1542_20241029</t>
  </si>
  <si>
    <t>SI1541_20241029</t>
  </si>
  <si>
    <t>SI1543_20241029</t>
  </si>
  <si>
    <t>SW240911-1</t>
  </si>
  <si>
    <t>DJ241025-26</t>
    <phoneticPr fontId="1" type="noConversion"/>
  </si>
  <si>
    <t>SI1554_20241031</t>
  </si>
  <si>
    <t>A(24H후)_9</t>
  </si>
  <si>
    <t>A(24H후)_10</t>
  </si>
  <si>
    <t>A(24H후)_11</t>
  </si>
  <si>
    <t>A(24H후)_12</t>
  </si>
  <si>
    <t>A(24H후)_13</t>
  </si>
  <si>
    <t>A(24H후)_14</t>
  </si>
  <si>
    <t>A(24H후)_15</t>
  </si>
  <si>
    <t>A(24H후)_16</t>
  </si>
  <si>
    <t>B(24H후)_9</t>
  </si>
  <si>
    <t>B(24H후)_10</t>
  </si>
  <si>
    <t>B(24H후)_11</t>
  </si>
  <si>
    <t>B(24H후)_12</t>
  </si>
  <si>
    <t>B(24H후)_13</t>
  </si>
  <si>
    <t>B(24H후)_14</t>
  </si>
  <si>
    <t>B(24H후)_15</t>
  </si>
  <si>
    <t>B(24H후)_16</t>
  </si>
  <si>
    <t>중량</t>
    <phoneticPr fontId="1" type="noConversion"/>
  </si>
  <si>
    <t>Cavity</t>
    <phoneticPr fontId="1" type="noConversion"/>
  </si>
  <si>
    <t>SI1553_20241101</t>
  </si>
  <si>
    <t>SI1519_20241108</t>
  </si>
  <si>
    <t>SI1394_20241106</t>
  </si>
  <si>
    <t>SI1537_20241109</t>
  </si>
  <si>
    <t>SI1542_20241112</t>
  </si>
  <si>
    <t>SI1540_20241112</t>
  </si>
  <si>
    <t>SI1554_20241112</t>
  </si>
  <si>
    <t>SI1553_20241112</t>
  </si>
  <si>
    <t>KS24-1107-8(DJ241112-6)</t>
    <phoneticPr fontId="1" type="noConversion"/>
  </si>
  <si>
    <t>MP0670,SL0100</t>
    <phoneticPr fontId="1" type="noConversion"/>
  </si>
  <si>
    <t>SI1557_20241115</t>
  </si>
  <si>
    <t>SI1559_20241115</t>
  </si>
  <si>
    <t>SI1544_20241118</t>
  </si>
  <si>
    <t>SI1545_20241118</t>
  </si>
  <si>
    <t>SI1539_20241108</t>
  </si>
  <si>
    <t>DJ241115-29</t>
    <phoneticPr fontId="1" type="noConversion"/>
  </si>
  <si>
    <t>SI1519_20241122</t>
  </si>
  <si>
    <t>장세래</t>
    <phoneticPr fontId="1" type="noConversion"/>
  </si>
  <si>
    <t>SI1554_20241120</t>
  </si>
  <si>
    <t>SI1554_20241127</t>
  </si>
  <si>
    <t>SI1560_20241115</t>
  </si>
  <si>
    <t>SI1558_20241115</t>
  </si>
  <si>
    <t>DJ241112-6(확정)</t>
    <phoneticPr fontId="1" type="noConversion"/>
  </si>
  <si>
    <t>SI1499_20241122</t>
  </si>
  <si>
    <t>GC-0755</t>
  </si>
  <si>
    <t>HF380</t>
    <phoneticPr fontId="1" type="noConversion"/>
  </si>
  <si>
    <t>SI1539_20241120</t>
  </si>
  <si>
    <t>SI1538_20241120</t>
  </si>
  <si>
    <t>SI1537_20241120</t>
  </si>
  <si>
    <t>SI1553_20241120</t>
  </si>
  <si>
    <t>SI1540_20241205</t>
  </si>
  <si>
    <t>유재호</t>
    <phoneticPr fontId="1" type="noConversion"/>
  </si>
  <si>
    <t>SI1541_20241205</t>
  </si>
  <si>
    <t>SI1352_20241205</t>
  </si>
  <si>
    <t>SI1524_20241205</t>
  </si>
  <si>
    <t>SW24-1122-7</t>
    <phoneticPr fontId="1" type="noConversion"/>
  </si>
  <si>
    <t>5,4</t>
    <phoneticPr fontId="1" type="noConversion"/>
  </si>
  <si>
    <t>SI1542_20241205</t>
  </si>
  <si>
    <t>SI1540_20241211</t>
  </si>
  <si>
    <t>2200J</t>
    <phoneticPr fontId="1" type="noConversion"/>
  </si>
  <si>
    <t>SI1568_20241205</t>
    <phoneticPr fontId="1" type="noConversion"/>
  </si>
  <si>
    <t>SI1569_20241205</t>
    <phoneticPr fontId="1" type="noConversion"/>
  </si>
  <si>
    <t>SI1400_20241211</t>
  </si>
  <si>
    <t>옥성케미칼</t>
    <phoneticPr fontId="1" type="noConversion"/>
  </si>
  <si>
    <t>KS24-1031-7</t>
  </si>
  <si>
    <t>SI1537_20241211</t>
  </si>
  <si>
    <t>SI1540_20241216</t>
  </si>
  <si>
    <t>SI1554_20241216</t>
  </si>
  <si>
    <t>SI1519_20241215</t>
  </si>
  <si>
    <t>양산 진행</t>
    <phoneticPr fontId="1" type="noConversion"/>
  </si>
  <si>
    <t>열1</t>
    <phoneticPr fontId="1" type="noConversion"/>
  </si>
  <si>
    <t>민병태</t>
    <phoneticPr fontId="1" type="noConversion"/>
  </si>
  <si>
    <t>남기갑</t>
    <phoneticPr fontId="1" type="noConversion"/>
  </si>
  <si>
    <t>SI1557_20241218</t>
  </si>
  <si>
    <t>SI1559_20241218</t>
  </si>
  <si>
    <t>SI1541_20241222</t>
  </si>
  <si>
    <t>실험일</t>
    <phoneticPr fontId="1" type="noConversion"/>
  </si>
  <si>
    <t>원료</t>
    <phoneticPr fontId="1" type="noConversion"/>
  </si>
  <si>
    <t>MB 및 함량</t>
    <phoneticPr fontId="1" type="noConversion"/>
  </si>
  <si>
    <t>SI1558_20241218</t>
  </si>
  <si>
    <t>SI1560_20241218</t>
  </si>
  <si>
    <t>DJ241217-24</t>
  </si>
  <si>
    <t>SI1542_20241225</t>
  </si>
  <si>
    <t>SI1519_20250102</t>
  </si>
  <si>
    <t>성형 조건표</t>
    <phoneticPr fontId="1" type="noConversion"/>
  </si>
  <si>
    <t>SI1560_20250106</t>
  </si>
  <si>
    <t>SI1541_20250106</t>
  </si>
  <si>
    <t>SI1540_20250106</t>
  </si>
  <si>
    <t>4017/DW2360(7/3)</t>
  </si>
  <si>
    <t>DJ241119-3</t>
    <phoneticPr fontId="1" type="noConversion"/>
  </si>
  <si>
    <t>DJ241230-03</t>
    <phoneticPr fontId="1" type="noConversion"/>
  </si>
  <si>
    <t>SI1556_20241226</t>
  </si>
  <si>
    <t>PCR ABS (롯데케미칼 GC-0755 50%)</t>
  </si>
  <si>
    <t>SI1569_20250110</t>
  </si>
  <si>
    <t>HDPE (롯데케미칼 2200J)</t>
  </si>
  <si>
    <t>DJ241219-5</t>
    <phoneticPr fontId="1" type="noConversion"/>
  </si>
  <si>
    <t>SI1580_20250108</t>
  </si>
  <si>
    <t>SI1578_20250110</t>
  </si>
  <si>
    <t>림영덕</t>
    <phoneticPr fontId="1" type="noConversion"/>
  </si>
  <si>
    <t>신원 241127-0</t>
  </si>
  <si>
    <t>신원 241224-8</t>
  </si>
  <si>
    <t>SI1581_20250110</t>
  </si>
  <si>
    <t>SI1577_20250110</t>
  </si>
  <si>
    <t>남오석</t>
    <phoneticPr fontId="1" type="noConversion"/>
  </si>
  <si>
    <t>J560S/DW2360(7:3)</t>
  </si>
  <si>
    <t>SI1579_20250114</t>
  </si>
  <si>
    <t>TEST기</t>
    <phoneticPr fontId="1" type="noConversion"/>
  </si>
  <si>
    <t>SJ150</t>
    <phoneticPr fontId="1" type="noConversion"/>
  </si>
  <si>
    <t>SI1543_20250115</t>
  </si>
  <si>
    <t>DJ250113-5</t>
  </si>
  <si>
    <t>4,5,6</t>
    <phoneticPr fontId="1" type="noConversion"/>
  </si>
  <si>
    <t>SI1582_20250116</t>
  </si>
  <si>
    <t>SI1583_20250116</t>
  </si>
  <si>
    <t>SI1584_20250116</t>
  </si>
  <si>
    <t>SI1585_20250116</t>
  </si>
  <si>
    <t>DJ250110-11</t>
  </si>
  <si>
    <t>SI1557_20250116</t>
  </si>
  <si>
    <t>SI1558_20250120</t>
  </si>
  <si>
    <t>SI1560_20250120</t>
  </si>
  <si>
    <t>SI1590_20250116</t>
  </si>
  <si>
    <t>SI1592_20250116</t>
  </si>
  <si>
    <t>SI1591_20250116</t>
  </si>
  <si>
    <t>DJ240701-2</t>
  </si>
  <si>
    <t>SI1569_20250114</t>
  </si>
  <si>
    <t>DW2360</t>
    <phoneticPr fontId="1" type="noConversion"/>
  </si>
  <si>
    <t>DJ241023-8</t>
    <phoneticPr fontId="1" type="noConversion"/>
  </si>
  <si>
    <t>DJ250117-7</t>
  </si>
  <si>
    <t>SI1586_20241127</t>
    <phoneticPr fontId="1" type="noConversion"/>
  </si>
  <si>
    <t>SI1586_20241218</t>
    <phoneticPr fontId="1" type="noConversion"/>
  </si>
  <si>
    <t>SI1586_20241219</t>
    <phoneticPr fontId="1" type="noConversion"/>
  </si>
  <si>
    <t>SI1587_20241127</t>
    <phoneticPr fontId="1" type="noConversion"/>
  </si>
  <si>
    <t>SI1587_20241218</t>
    <phoneticPr fontId="1" type="noConversion"/>
  </si>
  <si>
    <t>SI1587_20241219</t>
    <phoneticPr fontId="1" type="noConversion"/>
  </si>
  <si>
    <t>SI1589_20241127</t>
    <phoneticPr fontId="1" type="noConversion"/>
  </si>
  <si>
    <t>SI1589_20241218</t>
    <phoneticPr fontId="1" type="noConversion"/>
  </si>
  <si>
    <t>SI1589_20241219</t>
    <phoneticPr fontId="1" type="noConversion"/>
  </si>
  <si>
    <t>SI1588_20241127</t>
    <phoneticPr fontId="1" type="noConversion"/>
  </si>
  <si>
    <t>SI1588_20241218</t>
    <phoneticPr fontId="1" type="noConversion"/>
  </si>
  <si>
    <t>SI1588_20241219</t>
    <phoneticPr fontId="1" type="noConversion"/>
  </si>
  <si>
    <t>C_24H후_1</t>
  </si>
  <si>
    <t>C_24H후_2</t>
  </si>
  <si>
    <t>C_24H후_3</t>
  </si>
  <si>
    <t>C_24H후_4</t>
  </si>
  <si>
    <t>C_24H후_5</t>
  </si>
  <si>
    <t>C_24H후_6</t>
  </si>
  <si>
    <t>C_24H후_7</t>
  </si>
  <si>
    <t>C_24H후_8</t>
  </si>
  <si>
    <t>SI1557_20250204</t>
  </si>
  <si>
    <t>DJ250110-10</t>
  </si>
  <si>
    <t>J-560/5321(8/2)</t>
    <phoneticPr fontId="1" type="noConversion"/>
  </si>
  <si>
    <t>DJ250110-10/0-28</t>
    <phoneticPr fontId="1" type="noConversion"/>
  </si>
  <si>
    <t>5%/2%</t>
    <phoneticPr fontId="1" type="noConversion"/>
  </si>
  <si>
    <t>SI1543_20250204</t>
  </si>
  <si>
    <t>DJ250123-1</t>
  </si>
  <si>
    <t>SI1542_20250204</t>
  </si>
  <si>
    <t>SI1540_20250204</t>
  </si>
  <si>
    <t>SI1541_20250204</t>
  </si>
  <si>
    <t>AS 82TR</t>
  </si>
  <si>
    <t>SI1569_20250204</t>
  </si>
  <si>
    <t>SI1559_20250204</t>
  </si>
  <si>
    <t>SI1543_20250220</t>
  </si>
  <si>
    <t>DJ250219-8</t>
    <phoneticPr fontId="1" type="noConversion"/>
  </si>
  <si>
    <t>SI1591_20250204</t>
  </si>
  <si>
    <t>SI1590_20250204</t>
  </si>
  <si>
    <t>SI1592_20250204</t>
  </si>
  <si>
    <t>SI1591_20250224</t>
  </si>
  <si>
    <t>SI1582_20250220</t>
  </si>
  <si>
    <t>SI1583_20250220</t>
  </si>
  <si>
    <t>SI1584_20250220</t>
  </si>
  <si>
    <t>SI1585_20250220</t>
  </si>
  <si>
    <t>DJ250220-2,DJ250220-3</t>
    <phoneticPr fontId="1" type="noConversion"/>
  </si>
  <si>
    <t>DJ250220-4</t>
    <phoneticPr fontId="1" type="noConversion"/>
  </si>
  <si>
    <t>DJ250211-1</t>
  </si>
  <si>
    <t>SI1578_20250212</t>
  </si>
  <si>
    <t>SI1542_20250225</t>
  </si>
  <si>
    <t>SI1543_20250227</t>
  </si>
  <si>
    <t>KS25-0124-17</t>
  </si>
  <si>
    <t>2,3</t>
    <phoneticPr fontId="1" type="noConversion"/>
  </si>
  <si>
    <t>SI1595_20250305</t>
  </si>
  <si>
    <t>0_20250305</t>
  </si>
  <si>
    <t>DW2360(2차)</t>
    <phoneticPr fontId="1" type="noConversion"/>
  </si>
  <si>
    <t>DW2360(3차)</t>
    <phoneticPr fontId="1" type="noConversion"/>
  </si>
  <si>
    <t>POK/560</t>
    <phoneticPr fontId="1" type="noConversion"/>
  </si>
  <si>
    <t>SI1597_20250307</t>
  </si>
  <si>
    <t>SI1596_20250219</t>
    <phoneticPr fontId="1" type="noConversion"/>
  </si>
  <si>
    <t>SI1596_20250318</t>
  </si>
  <si>
    <t>SI1560_20250321</t>
  </si>
  <si>
    <t>SI1558_20250321</t>
  </si>
  <si>
    <t>SI1591_20250324</t>
  </si>
  <si>
    <t>DG250320(X-82)</t>
    <phoneticPr fontId="1" type="noConversion"/>
  </si>
  <si>
    <t>SI1599_20250327</t>
  </si>
  <si>
    <t>KS23-0628</t>
    <phoneticPr fontId="1" type="noConversion"/>
  </si>
  <si>
    <t>KS25-0314-14</t>
    <phoneticPr fontId="1" type="noConversion"/>
  </si>
  <si>
    <t>SI1595_20250401</t>
  </si>
  <si>
    <t>SI1600_20250402</t>
  </si>
  <si>
    <t>SI1601_20250402</t>
  </si>
  <si>
    <t>KS24-0408-1</t>
    <phoneticPr fontId="1" type="noConversion"/>
  </si>
  <si>
    <t>SI1598_20250408</t>
  </si>
  <si>
    <t>DG250402</t>
    <phoneticPr fontId="1" type="noConversion"/>
  </si>
  <si>
    <t>SI1591_20250409</t>
  </si>
  <si>
    <t>KS25-0124-17</t>
    <phoneticPr fontId="1" type="noConversion"/>
  </si>
  <si>
    <t>SI1559_20250415</t>
  </si>
  <si>
    <t>DJ6441</t>
    <phoneticPr fontId="1" type="noConversion"/>
  </si>
  <si>
    <t>SI1600_20250416</t>
  </si>
  <si>
    <t>SI1601_20250417</t>
  </si>
  <si>
    <t>SI1595_20250418</t>
  </si>
  <si>
    <t>KS25-0416-14</t>
    <phoneticPr fontId="1" type="noConversion"/>
  </si>
  <si>
    <t>SI1591_20250425</t>
  </si>
  <si>
    <t>SI1600_20250428</t>
  </si>
  <si>
    <t>SI1601_20250428</t>
  </si>
  <si>
    <t>KS25-0428-15</t>
    <phoneticPr fontId="1" type="noConversion"/>
  </si>
  <si>
    <t>SI1603_20250428</t>
  </si>
  <si>
    <t>SI1559_20250512</t>
  </si>
  <si>
    <t>SI1560_20250512</t>
  </si>
  <si>
    <t>SI1604_20250515</t>
  </si>
  <si>
    <t>250403-41</t>
    <phoneticPr fontId="1" type="noConversion"/>
  </si>
  <si>
    <t>SI1605_20250519</t>
  </si>
  <si>
    <t>SI1606_20250519</t>
  </si>
  <si>
    <t>DG X-144</t>
    <phoneticPr fontId="1" type="noConversion"/>
  </si>
  <si>
    <t>DG X-142A</t>
    <phoneticPr fontId="1" type="noConversion"/>
  </si>
  <si>
    <t>SI1606_20250522</t>
  </si>
  <si>
    <t>SI1607_20250522</t>
  </si>
  <si>
    <t>SI1608_20250522</t>
  </si>
  <si>
    <t>CR-PETG</t>
    <phoneticPr fontId="1" type="noConversion"/>
  </si>
  <si>
    <t>KS25-0527-7</t>
    <phoneticPr fontId="1" type="noConversion"/>
  </si>
  <si>
    <t>KS25-0527-8</t>
    <phoneticPr fontId="1" type="noConversion"/>
  </si>
  <si>
    <t>SI1605_20250522</t>
  </si>
  <si>
    <t>SI1591_20250604</t>
  </si>
  <si>
    <t>SI1600_20250606</t>
  </si>
  <si>
    <t>SI1601_20250606</t>
  </si>
  <si>
    <t>SI1600_20250613</t>
  </si>
  <si>
    <t>SI1601_20250613</t>
  </si>
  <si>
    <t>SI1606_20250609</t>
  </si>
  <si>
    <t>SW250612-9</t>
    <phoneticPr fontId="1" type="noConversion"/>
  </si>
  <si>
    <t>SI1595_20250604</t>
  </si>
  <si>
    <t>SI1609_20250623</t>
  </si>
  <si>
    <t>SI1610_20250623</t>
  </si>
  <si>
    <t>SI1611_20250623</t>
  </si>
  <si>
    <t>DJ250516-4</t>
    <phoneticPr fontId="1" type="noConversion"/>
  </si>
  <si>
    <t>SI1606_20250618</t>
  </si>
  <si>
    <t>PP4017</t>
    <phoneticPr fontId="1" type="noConversion"/>
  </si>
  <si>
    <t>DJ50115</t>
  </si>
  <si>
    <t>SI1601_20250618</t>
  </si>
  <si>
    <t>SI1600_20250623</t>
  </si>
  <si>
    <t>KS25-0624-20A</t>
    <phoneticPr fontId="1" type="noConversion"/>
  </si>
  <si>
    <t>SI1606_20250630</t>
  </si>
  <si>
    <t>DW2350,4017</t>
    <phoneticPr fontId="1" type="noConversion"/>
  </si>
  <si>
    <t>J560S/DWR2350(6:4)</t>
  </si>
  <si>
    <t>SI1609_20250703</t>
  </si>
  <si>
    <t>SI1610_20250703</t>
  </si>
  <si>
    <t>SI1611_20250703</t>
  </si>
  <si>
    <t>SI1610_20250708</t>
  </si>
  <si>
    <t>SI1614_20250708</t>
  </si>
  <si>
    <t>DW2360/4017(7:3)</t>
    <phoneticPr fontId="1" type="noConversion"/>
  </si>
  <si>
    <t>DJ250610-2</t>
    <phoneticPr fontId="1" type="noConversion"/>
  </si>
  <si>
    <t>SI1609_20250708</t>
  </si>
  <si>
    <t>SI1617_20250708</t>
  </si>
  <si>
    <t>DJ250610-4</t>
    <phoneticPr fontId="1" type="noConversion"/>
  </si>
  <si>
    <t>SI1620_20250708</t>
  </si>
  <si>
    <t>SI1621_20250708</t>
  </si>
  <si>
    <t>SI1622_20250708</t>
  </si>
  <si>
    <t>SI1615_20250708</t>
  </si>
  <si>
    <t>SI1618_20250708</t>
  </si>
  <si>
    <t>DJ250703-10</t>
    <phoneticPr fontId="1" type="noConversion"/>
  </si>
  <si>
    <t>SI1616_20250708</t>
  </si>
  <si>
    <t>SI1629_20250708</t>
  </si>
  <si>
    <t>SI1634_20250723</t>
  </si>
  <si>
    <t>Hytrel (Dupont H7246)</t>
  </si>
  <si>
    <t>DJ250610-5</t>
    <phoneticPr fontId="1" type="noConversion"/>
  </si>
  <si>
    <t>SI1619_20250708</t>
  </si>
  <si>
    <t>PETG (SK케미칼 PN200)</t>
  </si>
  <si>
    <t>DJ250704-1</t>
    <phoneticPr fontId="1" type="noConversion"/>
  </si>
  <si>
    <t>SI1623_20250708</t>
  </si>
  <si>
    <t>SI1630_20250708</t>
  </si>
  <si>
    <t>SI1633_20250708</t>
  </si>
  <si>
    <t>SI1625_20250708</t>
  </si>
  <si>
    <t>SI1627_20250708</t>
  </si>
  <si>
    <t>SI1631_20250708</t>
  </si>
  <si>
    <t>SI1626_20250708</t>
  </si>
  <si>
    <t>SI1632_20250708</t>
  </si>
  <si>
    <t>SI1628_20250708</t>
  </si>
  <si>
    <t>SI1611_20250807</t>
  </si>
  <si>
    <t>MP0670</t>
  </si>
  <si>
    <t>DJ250610-4</t>
  </si>
  <si>
    <t>DJ250703-10</t>
  </si>
  <si>
    <t>SI1630_20250812</t>
  </si>
  <si>
    <t>SI1631_20250812</t>
  </si>
  <si>
    <t>SI1632_20250812</t>
  </si>
  <si>
    <t>SI1633_20250812</t>
  </si>
  <si>
    <t>SI1629_20250812</t>
  </si>
  <si>
    <t>SI1625_20250812</t>
  </si>
  <si>
    <t>SI1626_20250812</t>
  </si>
  <si>
    <t>SI1628_20250812</t>
  </si>
  <si>
    <t>SI1627_20250812</t>
  </si>
  <si>
    <t>SI1614_20250812</t>
  </si>
  <si>
    <t>SI1615_20250812</t>
  </si>
  <si>
    <t>SI1616_20250812</t>
  </si>
  <si>
    <t>SI1617_20250812</t>
  </si>
  <si>
    <t>SI1618_20250812</t>
  </si>
  <si>
    <t>SI1619_20250812</t>
  </si>
  <si>
    <t>SI1620_20250812</t>
  </si>
  <si>
    <t>SI1621_20250812</t>
  </si>
  <si>
    <t>SI1622_20250812</t>
  </si>
  <si>
    <t>SI1623_20250812</t>
  </si>
  <si>
    <t>T1 시사출, 150ml 색상실험 중 2번으로 진행, 2~3번중간 컬러로 다시 MB 맞춰야 함</t>
  </si>
  <si>
    <t>WHITE(타겟참고)
SW230727-0</t>
  </si>
  <si>
    <t>설화수 진설클렌징폼 견본 40ml (25AD 내캡</t>
  </si>
  <si>
    <t>WHITE(타겟참고)</t>
  </si>
  <si>
    <t>띠박 진행해야 함</t>
    <phoneticPr fontId="1" type="noConversion"/>
  </si>
  <si>
    <t>설화수 진설클렌징폼 견본 15ml (25AD 외캡</t>
  </si>
  <si>
    <t>설화수 진설클렌징폼 견본 15ml (25AD 내캡</t>
  </si>
  <si>
    <t>T1 시사출</t>
  </si>
  <si>
    <t>회색펄 사출(MB들어와있음)
DJ240819-6</t>
  </si>
  <si>
    <t>설화수 진설클렌징폼 150ml (25AD 내캡</t>
  </si>
  <si>
    <t xml:space="preserve">나사 내경 수정 샘플 규격 Ø17.9mm 수정 후 규격 Ø17.8mm 조정 바랍니다.(Ø0.1mm 줄임), 캡 스토퍼 모서리 R0.2 --&gt; R0.5로 조정.(확인 불가)		</t>
  </si>
  <si>
    <t xml:space="preserve">WHITE(타겟참고) 360-1 </t>
    <phoneticPr fontId="1" type="noConversion"/>
  </si>
  <si>
    <t>보유 WHITE MB 사용, 의뢰가 늦어 죄송합니다.</t>
    <phoneticPr fontId="1" type="noConversion"/>
  </si>
  <si>
    <t>설화수 진설클렌징폼 150ml (25AD 외캡</t>
  </si>
  <si>
    <t>Gate spray 해결 위한 실험 -&gt; 속도 조절 샘플 확인 후 게이트 수정 요청 예정</t>
  </si>
  <si>
    <t>WHITE(타겟참고) SW230727-0</t>
    <phoneticPr fontId="1" type="noConversion"/>
  </si>
  <si>
    <t>실험내용과 샘플 제출 후 수정의뢰 예정입니다. 실험조건 잘 기입 부탁드립니다.</t>
    <phoneticPr fontId="1" type="noConversion"/>
  </si>
  <si>
    <t>아이오페 슈퍼바이탈 크림 50ML(24EC 내용기</t>
  </si>
  <si>
    <t>완료회의 위해 치수 확인 필요(완료회의 10월 16일로 14일 늦게라도 사출 부탁드립니다)</t>
  </si>
  <si>
    <t>J560K </t>
  </si>
  <si>
    <t>아이오페 스템Ⅲ 클리니컬 리커버리 크림 50ML(25) 외캡 사출</t>
  </si>
  <si>
    <t>T1 시사출, 치수 및 금형작동 확인, 투명으로 품질 확인 필요</t>
  </si>
  <si>
    <t>투명</t>
  </si>
  <si>
    <t>아이오페 스템Ⅲ 클리니컬 리커버리 크림 50ML(25) 내캡 사출</t>
  </si>
  <si>
    <t>T1 시사출, 치수 및 금형작동 확인</t>
  </si>
  <si>
    <t>증착사양</t>
  </si>
  <si>
    <t>색상? 타겟 못받았습니다. 받으면 공유하겠습니다. 골드추정</t>
  </si>
  <si>
    <t>아이오페 스템Ⅲ 클리니컬 리커버리 크림 50ML(25) 캡장식 사출</t>
  </si>
  <si>
    <t>아이오페 스템Ⅲ 클리니컬 리커버리 크림 50ML(25) 내용기</t>
  </si>
  <si>
    <t>T1 시사출, 치수 및 금형작동 확인, 색상 타겟과 맞춤(필요시 %별로 사출) 합계수량 100EA</t>
  </si>
  <si>
    <t>신원 240911-1</t>
  </si>
  <si>
    <t>치수 확인용으로 소량 사출이고 MB는 내부에 있는 유사MB 사용</t>
  </si>
  <si>
    <t>요청 중</t>
  </si>
  <si>
    <t>일리윤 히알루론모이스춰수분크림 100ML (24 외용기 사출</t>
  </si>
  <si>
    <t>증작금형으로 금형작동 및 치수확인</t>
  </si>
  <si>
    <t>일리윤 히알루론모이스춰수분크림 100ML (21 내용기 사출</t>
  </si>
  <si>
    <t>일리윤 프로바이오틱스 스킨 배리어 크림 100ML 캡 사출</t>
  </si>
  <si>
    <t>아이오페 슈퍼바이탈 크림 50ML(24EC 외용기</t>
  </si>
  <si>
    <t>메탈코팅 위한 사출, 골드/로즈골드 코팅샘플 만들고 테스트 진행할 샘플까지 수량</t>
    <phoneticPr fontId="1" type="noConversion"/>
  </si>
  <si>
    <t>금주 중 코팅, 사상해서 차주에 조립해서 디자이너 미팅 예정, 나머지 부품 재고도 확인해야 합니다</t>
    <phoneticPr fontId="1" type="noConversion"/>
  </si>
  <si>
    <t>아이오페 슈퍼바이탈 크림 50ML(24EC 외캡</t>
  </si>
  <si>
    <t>PET 사출핀</t>
  </si>
  <si>
    <t>T2</t>
    <phoneticPr fontId="1" type="noConversion"/>
  </si>
  <si>
    <t>PBT</t>
    <phoneticPr fontId="1" type="noConversion"/>
  </si>
  <si>
    <t>내츄럴</t>
    <phoneticPr fontId="1" type="noConversion"/>
  </si>
  <si>
    <t xml:space="preserve">일정 조정 필요하면 얘기해주시면 조정하겠습니다. </t>
  </si>
  <si>
    <t>포장재 테스트 및 라인테스트용 샘플 200개 (코팅로스 반영)</t>
  </si>
  <si>
    <t>타겟참고 %확정바람</t>
  </si>
  <si>
    <t>일정확인해서 답변보내야 합니다. 가능한 빠른 일정 확인 부탁드립니다.</t>
  </si>
  <si>
    <t xml:space="preserve">포장재 테스트 및 라인테스트용 샘플 200개 </t>
  </si>
  <si>
    <t>설화수 진설클렌징폼 150ml (25AD 캡장식</t>
  </si>
  <si>
    <t>포장재 테스트 및 라인테스트용 샘플 200개 (증착로스 반영)</t>
  </si>
  <si>
    <t>NATURAL</t>
  </si>
  <si>
    <t>설화수 탄력크림 견5ML (21NEW 용기/7758</t>
  </si>
  <si>
    <t>표견 및 라인테스트용(글로벌용 인쇄 변경 표견에 필요)</t>
  </si>
  <si>
    <t>동진 240717-3</t>
  </si>
  <si>
    <t>주황색 용기에 인쇄가 2가지인데 1가지만 표견획득입니다. 프리웍스 생산때 사출물 공유 주셔도 진행가능입니다. 대신 일정 확인해주세요. 감사합니다.</t>
  </si>
  <si>
    <t>오딧세이 로맨틱 스킨 리파이너 130ML (23AD)(착인) 외캡</t>
  </si>
  <si>
    <t>목분 샘플 제작용, 기존 사출물과 색상이 동일하게 MB % 조절</t>
  </si>
  <si>
    <t>목분 3종</t>
    <phoneticPr fontId="1" type="noConversion"/>
  </si>
  <si>
    <t>5M964 : KS1054 - KG</t>
  </si>
  <si>
    <t>무림에는 18일 사출이라고 공유해놓았습니다. 위에 의뢰목록을 카피해놓은 겁니다. 일정 확인 부탁드립니다.</t>
  </si>
  <si>
    <t>오딧세이 로맨틱 스킨 리파이너 130ML (23AD)(착인) 내캡</t>
  </si>
  <si>
    <t>목분 샘플 제작용 상대물</t>
  </si>
  <si>
    <t>가능 일정 알려주시면 무림에 설명해보도록 하겠습니다.</t>
  </si>
  <si>
    <t>양산중</t>
    <phoneticPr fontId="1" type="noConversion"/>
  </si>
  <si>
    <t>한율 백화고기미단크림10ml(견 캡</t>
  </si>
  <si>
    <t>인쇄변경 표견 획득 샘플 및 색상변경 신제품 기능테스트용</t>
  </si>
  <si>
    <t>KS18-1228-7</t>
  </si>
  <si>
    <t>한율 백화고 기미탄력 크림 견 10ml (24(Jar 용기</t>
  </si>
  <si>
    <t>KS18-1219</t>
  </si>
  <si>
    <t>라보에이치 모발강화 트리트먼트 200ml 50파이 원터치캡</t>
  </si>
  <si>
    <t>T1 시사출, 아이팩 제품</t>
  </si>
  <si>
    <t>라보에이치 모발강화 트리트먼트 200ml 50파이 장식</t>
  </si>
  <si>
    <t>MB 요청 중</t>
  </si>
  <si>
    <t>라보에이치 모발강화 트리트먼트 300ml 60파이 원터치캡</t>
  </si>
  <si>
    <t>라보에이치 모발강화 트리트먼트 300ml 60파이 장식</t>
  </si>
  <si>
    <t>1차 내용기 사출 요청, 완료회의 제출 시료, 수정사항 확인 용</t>
  </si>
  <si>
    <t>SI1519</t>
  </si>
  <si>
    <t>2차 사출 요청, 완료회의 제출 용</t>
  </si>
  <si>
    <t>아이오페 슈퍼바이탈 크림 50ML(24EC 내캡</t>
  </si>
  <si>
    <t>SI1522</t>
  </si>
  <si>
    <t>SW240521-1 (BEIGE)</t>
  </si>
  <si>
    <t>아이오페 슈퍼바이탈 크림 50ML(24EC 용기받침</t>
  </si>
  <si>
    <t>T2 시사출, 수정사항 확인</t>
  </si>
  <si>
    <t>31일(목) 사출해서 태가로 이동해서 11월 1일(금) 증착해서 11월 4일 t2미팅해야 합니다.</t>
  </si>
  <si>
    <t>표면 스크레치 확인</t>
    <phoneticPr fontId="1" type="noConversion"/>
  </si>
  <si>
    <t>150ml 컬러코팅 샘플에 맞춰 다시 MB 맞춰야 함</t>
    <phoneticPr fontId="1" type="noConversion"/>
  </si>
  <si>
    <t>나사선 15도 돌린것 확인, 폴라이트 2.0T(우일에서 다시 사이즈 맞춘 것으로)</t>
    <phoneticPr fontId="1" type="noConversion"/>
  </si>
  <si>
    <t>조립해서 기능테스트 제출해야 함, 7일 시사출 미팅 진행 예정</t>
    <phoneticPr fontId="1" type="noConversion"/>
  </si>
  <si>
    <t>긴급! 외경 무조건 도면 치수에 맞춰 사출 요청(수축이나 미성형 발생 시 샘플 함께 챙겨주세요) 외캡 치수가 틀어지면 캡 전체 구조에 문제가 생깁니다. 외경이 도면 치수에 맞도록 최대한 맞춰서 사출해주시고, 양산 가능 치수 샘플과 문제가 발생되면 발생되는 샘플도 같이 챙겨주세요. - 샘플을 보고 나머지 부품도 수정진행 예정입니다.</t>
    <phoneticPr fontId="1" type="noConversion"/>
  </si>
  <si>
    <t>7518961 라네즈 퍼펙트리뉴 쓰리엑스 스킨 리파이너23AD(견 50ML 캡</t>
  </si>
  <si>
    <t>신제품 적용, 기존 제출 샘플에서 증착박리 발생으로 다시 테스트 샘플 준비</t>
    <phoneticPr fontId="1" type="noConversion"/>
  </si>
  <si>
    <t>SI1394</t>
    <phoneticPr fontId="1" type="noConversion"/>
  </si>
  <si>
    <t>목요일에 후가공테스트넣는다고 목요일까지 제출 요청있습니다. 나라 코팅일정 필요하니11월 12일에는 나라에 보내야 합니다.</t>
    <phoneticPr fontId="1" type="noConversion"/>
  </si>
  <si>
    <t>색상실험, 기능/후가공 테스트 제출, 향후 표견</t>
    <phoneticPr fontId="1" type="noConversion"/>
  </si>
  <si>
    <t>각 80</t>
    <phoneticPr fontId="1" type="noConversion"/>
  </si>
  <si>
    <t xml:space="preserve">새로운 mb입고된 것으로 색상실험해서 제출해야 합니다. </t>
    <phoneticPr fontId="1" type="noConversion"/>
  </si>
  <si>
    <t xml:space="preserve">색상테스트 진행 시 컨펌된 색상으로 후가공테스트 바로 제출할 수 있도록 각각 수량을 80개씩 사출해 주시면 좋겠습니다. </t>
    <phoneticPr fontId="1" type="noConversion"/>
  </si>
  <si>
    <t>2차 내용기 사출 요청, 완료회의 제출 시료, 1차 수정한 내용기와 치수가 같아야 합니다. 사출 시 확인해주세요</t>
    <phoneticPr fontId="1" type="noConversion"/>
  </si>
  <si>
    <t>12일까지 감리처 제출해야 합니다. 1차 용기와 치수가 같아야 하고 스토퍼 감도 동일하게 나오는지 확인하고 제출하라고 합니다.</t>
    <phoneticPr fontId="1" type="noConversion"/>
  </si>
  <si>
    <t>증착 색상테스트 및 후가공테스트 제출, 향후 표견에 활용</t>
    <phoneticPr fontId="1" type="noConversion"/>
  </si>
  <si>
    <t>기존 증착샘플에 무광이 더 올라야 한다고 합니다.</t>
    <phoneticPr fontId="1" type="noConversion"/>
  </si>
  <si>
    <t>T3 시사출, 수정사항 확인(외캡 조립 언더컷 부위)</t>
    <phoneticPr fontId="1" type="noConversion"/>
  </si>
  <si>
    <t>14일 증착해서 15일 2시 T3 미팅에 제출해야 합니다.</t>
    <phoneticPr fontId="1" type="noConversion"/>
  </si>
  <si>
    <t>T3 시사출, 수정사항 확인(외경 0.1)</t>
    <phoneticPr fontId="1" type="noConversion"/>
  </si>
  <si>
    <t>표면 스크레치 확인, 지난번 제출한 색상샘플에서 4%로 컨펌됨</t>
    <phoneticPr fontId="1" type="noConversion"/>
  </si>
  <si>
    <t>신규MB입고</t>
    <phoneticPr fontId="1" type="noConversion"/>
  </si>
  <si>
    <t>색상실험 부탁합니다. 무광원료도 같이 실험해주세요!!, 스크래치 개선위해 온수사용 요청있습니다.</t>
    <phoneticPr fontId="1" type="noConversion"/>
  </si>
  <si>
    <t>색상실험, 후가공 테스트 제출, 향후 표견</t>
    <phoneticPr fontId="1" type="noConversion"/>
  </si>
  <si>
    <t>2차 내용기 사출 요청, 완료회의 제출 시료,지난번 사출한 것 나사경 0.1 작게 사출되었습니다. 개선 요청드립니다.</t>
    <phoneticPr fontId="1" type="noConversion"/>
  </si>
  <si>
    <t>공유드린대로 1차 용기와 치수가 같아야 하고 스토퍼 감도 동일하게 나오는지 확인하고 제출하라고 합니다. 감사합니다</t>
    <phoneticPr fontId="1" type="noConversion"/>
  </si>
  <si>
    <t>T2 시사출, 아이팩 제품</t>
    <phoneticPr fontId="1" type="noConversion"/>
  </si>
  <si>
    <t>수정된 MB로 사출해야 합니다</t>
    <phoneticPr fontId="1" type="noConversion"/>
  </si>
  <si>
    <t>T2 시사출</t>
    <phoneticPr fontId="1" type="noConversion"/>
  </si>
  <si>
    <t>2차 내용기 재사출 요청, 완료회의 제출 시료, 기능테스트 제출 필요, 지난번 사출한 것 역시 나사경 0.05작게 사출되었습니다. 개선 요청드립니다.</t>
    <phoneticPr fontId="1" type="noConversion"/>
  </si>
  <si>
    <t>슈바 2차 내용기 치수 여전히 빠진다고 다시 사출해달랍니다.  나사내경이 49.3대가 나와야하는데 49.15~23정도 나온다고 합니다. 이번 사출물도 지난번 것과 별차이 없다고 합니다. 적어도 0.05이상 키워야한다고 합니다. 예~전에 제출한 2차는 그 규격 나왔었다고 합니다.</t>
    <phoneticPr fontId="1" type="noConversion"/>
  </si>
  <si>
    <t>후가공 테스트용 샘플, 표견용 포함, 색상테스트 포함</t>
    <phoneticPr fontId="1" type="noConversion"/>
  </si>
  <si>
    <t>후가공 테스트용 샘플, 표견용 포함</t>
    <phoneticPr fontId="1" type="noConversion"/>
  </si>
  <si>
    <t>기존 MB 5%-&gt;7%로 조정</t>
    <phoneticPr fontId="1" type="noConversion"/>
  </si>
  <si>
    <t>헤라 글로우 쿠션 파운데이션21N1(견 5g(24) 상용기</t>
    <phoneticPr fontId="1" type="noConversion"/>
  </si>
  <si>
    <t>AP디자인팀 색상 작업용으로 요청 흰색으로 사출 요청</t>
    <phoneticPr fontId="1" type="noConversion"/>
  </si>
  <si>
    <t>11월 22일</t>
    <phoneticPr fontId="1" type="noConversion"/>
  </si>
  <si>
    <t>백색</t>
    <phoneticPr fontId="1" type="noConversion"/>
  </si>
  <si>
    <t>깨끗하게 나오지 않아도 되는 것으로 협의봤습니다.</t>
    <phoneticPr fontId="1" type="noConversion"/>
  </si>
  <si>
    <t>헤라 글로우 쿠션 파운데이션21N1(견 5g(24) 하용기</t>
    <phoneticPr fontId="1" type="noConversion"/>
  </si>
  <si>
    <t>프리웍스 300ea 납품용, 12월 5일 납품 예정</t>
    <phoneticPr fontId="1" type="noConversion"/>
  </si>
  <si>
    <t>PP 4%로 컨펌</t>
    <phoneticPr fontId="1" type="noConversion"/>
  </si>
  <si>
    <t>* 최종 확정 MB로 작성부탁드립니다.</t>
    <phoneticPr fontId="1" type="noConversion"/>
  </si>
  <si>
    <t>지난 실험에서 4% 컨펌</t>
    <phoneticPr fontId="1" type="noConversion"/>
  </si>
  <si>
    <t>가스밴트 수정 후 스크래치 개선 효과 있는지 확인하려 합니다. 찍는 김에 프리웍스 수량 사출하면 어떨까 합니다.</t>
    <phoneticPr fontId="1" type="noConversion"/>
  </si>
  <si>
    <t>프리웍스 300ea 납품용, 12월 5일 납품 예정, 박 일정 고려</t>
    <phoneticPr fontId="1" type="noConversion"/>
  </si>
  <si>
    <t>프리웍스 300ea 납품용, 12월 5일 납품 예정, 코팅일정 고려</t>
    <phoneticPr fontId="1" type="noConversion"/>
  </si>
  <si>
    <t>프리웍스 300ea 납품용, 12월 5일 납품 예정, 증착일정 고려</t>
    <phoneticPr fontId="1" type="noConversion"/>
  </si>
  <si>
    <t>슈바 2차 내용기 나사경 기준으로 51.70대가 나오도록 조정해주세요.(지난번 샘플 나사경이 51.64나왔는데 나사내측 0.05키워달라한 후 나사경이 51.78나와서 갈림현상 등 발생했습니다. 그래서 나사경 기준으로 치수 확인하도록 하였습니다)</t>
    <phoneticPr fontId="1" type="noConversion"/>
  </si>
  <si>
    <t>7556469    설화수 자음생크림 견 10ml (24AD) 외캡 사출</t>
    <phoneticPr fontId="1" type="noConversion"/>
  </si>
  <si>
    <t>PCR ABS (롯데케미칼 GC-0755 50%)로 사출/증착요청, 저가 모델에 pcr적용 가능한지 확인하기 위함이라고 함</t>
    <phoneticPr fontId="1" type="noConversion"/>
  </si>
  <si>
    <t>SI1499</t>
  </si>
  <si>
    <t>pcr로 했을 때 문제점을 AP래디언스 캡을 가져가서 설명했습니다. 한도처리해서라도 사용가능성 있다고 해서 샘플 진행합니다</t>
    <phoneticPr fontId="1" type="noConversion"/>
  </si>
  <si>
    <r>
      <rPr>
        <b/>
        <sz val="11"/>
        <color rgb="FFFF0000"/>
        <rFont val="맑은 고딕"/>
        <family val="3"/>
        <charset val="129"/>
        <scheme val="minor"/>
      </rPr>
      <t>긴급 요청입니다. 장진영님,</t>
    </r>
    <r>
      <rPr>
        <sz val="11"/>
        <color theme="1"/>
        <rFont val="맑은 고딕"/>
        <family val="2"/>
        <charset val="129"/>
        <scheme val="minor"/>
      </rPr>
      <t xml:space="preserve">
50g 외캡 사출 아래 조건 조정하여 긴급으로 진행해주세요. 바로 생산팀에 요청하셔서 진행부탁드립니다.
언더컷 빠질때 부하 받아서 생기는거라면 아래 조건 변경으로 개선 가능해보입니다. 
1. 냉각 타임 줄여서
2,. 온수 온도 올려서
3. ABS 그레이드 LG화학 HF380 로 진행
  (이외 다른 ABS그레이드 있으면 다 찍어봐주세요)</t>
    </r>
    <phoneticPr fontId="1" type="noConversion"/>
  </si>
  <si>
    <t xml:space="preserve"> LG화학 HF380 로 진행</t>
  </si>
  <si>
    <t>내일 바로 찍어서 샘플 전달해달라고 합니다.(수량 원료별 각 100개)</t>
    <phoneticPr fontId="1" type="noConversion"/>
  </si>
  <si>
    <t>2차 내용기, 금형수정(게이트크기 키움) 후 사출진행, J560S도 함께 사출 요청(색상무관)</t>
    <phoneticPr fontId="1" type="noConversion"/>
  </si>
  <si>
    <t>게이트 키운 것이 치수 맞추는데 도움이 되는지 살펴봐야 합니다. J560K를 찍은 뒤 같은 조건으로 J560S를 찍어주시고(치수가 클 것으로 예상), 다음에 치수를 맞춰서 사출해 주세요. 이유는 J560K와 J560S의 수축편차, 치수를 맞추는 사출 조건의 차이를 기록해서 참고자료로 사용할 예정입니다.</t>
    <phoneticPr fontId="1" type="noConversion"/>
  </si>
  <si>
    <r>
      <t xml:space="preserve">2차 사출 요청, 기능/후가공테스트 진행 예정, 사상/후가공 진행 </t>
    </r>
    <r>
      <rPr>
        <b/>
        <sz val="11"/>
        <color rgb="FFFF0000"/>
        <rFont val="맑은 고딕"/>
        <family val="3"/>
        <charset val="129"/>
        <scheme val="minor"/>
      </rPr>
      <t>ABS로 진행</t>
    </r>
    <phoneticPr fontId="1" type="noConversion"/>
  </si>
  <si>
    <t>SI1589</t>
    <phoneticPr fontId="1" type="noConversion"/>
  </si>
  <si>
    <t>ABS MP-0670</t>
    <phoneticPr fontId="1" type="noConversion"/>
  </si>
  <si>
    <r>
      <t>2차 사출 요청, 기능/후가공테스트 진행 예정</t>
    </r>
    <r>
      <rPr>
        <sz val="11"/>
        <rFont val="맑은 고딕"/>
        <family val="3"/>
        <charset val="129"/>
        <scheme val="minor"/>
      </rPr>
      <t xml:space="preserve"> 색상2종류 각100개씩,</t>
    </r>
    <r>
      <rPr>
        <b/>
        <sz val="11"/>
        <color rgb="FFFF0000"/>
        <rFont val="맑은 고딕"/>
        <family val="3"/>
        <charset val="129"/>
        <scheme val="minor"/>
      </rPr>
      <t xml:space="preserve"> 재고 있으면 재고 사용 가능</t>
    </r>
    <phoneticPr fontId="1" type="noConversion"/>
  </si>
  <si>
    <t>SI1586</t>
  </si>
  <si>
    <t>재고 있으면 재고 사용 가능</t>
    <phoneticPr fontId="1" type="noConversion"/>
  </si>
  <si>
    <t>SI1587</t>
    <phoneticPr fontId="1" type="noConversion"/>
  </si>
  <si>
    <t>아이오페 슈퍼바이탈 크림 50ML(24EC 캡장식</t>
  </si>
  <si>
    <t>SI1588</t>
    <phoneticPr fontId="1" type="noConversion"/>
  </si>
  <si>
    <t xml:space="preserve">7100170 라네즈 옴므액티브워터스킨(견 25ml(17)캡 </t>
    <phoneticPr fontId="1" type="noConversion"/>
  </si>
  <si>
    <t>신제품 위한 색상 테스트, 타겟에 맞게 %별 사출 요청(타겟있음) %별로 80개</t>
    <phoneticPr fontId="1" type="noConversion"/>
  </si>
  <si>
    <t>SI0863</t>
  </si>
  <si>
    <t>A8292</t>
    <phoneticPr fontId="1" type="noConversion"/>
  </si>
  <si>
    <t>M201581</t>
    <phoneticPr fontId="1" type="noConversion"/>
  </si>
  <si>
    <t>PP J560S</t>
    <phoneticPr fontId="1" type="noConversion"/>
  </si>
  <si>
    <t>24-1125-10</t>
    <phoneticPr fontId="1" type="noConversion"/>
  </si>
  <si>
    <t>제품 확인하느라 일정 늦어짐, 빠른 진행 부탁드립니다.</t>
    <phoneticPr fontId="1" type="noConversion"/>
  </si>
  <si>
    <t>T4 시사출, 수정사항 확인 조립방식 변경(금형 12월 9일 입고 예정)</t>
    <phoneticPr fontId="1" type="noConversion"/>
  </si>
  <si>
    <t xml:space="preserve">12월 5일 완료 예정일인데 조립방식 변경으로 지연입니다. 최대한 우선 사출해주세요. </t>
    <phoneticPr fontId="1" type="noConversion"/>
  </si>
  <si>
    <t>T4 시사출, 수정사항 확인 조립방식 변경(금형 12월 3일 입고)</t>
    <phoneticPr fontId="1" type="noConversion"/>
  </si>
  <si>
    <t>늦어도 11일에 샘플 회의 할 수 있도록 부탁드립니다.</t>
    <phoneticPr fontId="1" type="noConversion"/>
  </si>
  <si>
    <t>T4 시사출, 수정사항 확인 조립방식 변경(금형 12월 5일 입고 예정)</t>
    <phoneticPr fontId="1" type="noConversion"/>
  </si>
  <si>
    <t>7493354 설화수 에센셜 퍼 탄력영양크림 75ML 내캡</t>
    <phoneticPr fontId="1" type="noConversion"/>
  </si>
  <si>
    <t>SI1568</t>
    <phoneticPr fontId="1" type="noConversion"/>
  </si>
  <si>
    <t>M211167</t>
  </si>
  <si>
    <t>24-1122-6</t>
    <phoneticPr fontId="1" type="noConversion"/>
  </si>
  <si>
    <t>7493354 설화수 에센셜 퍼 탄력영양크림 75ML 외캡</t>
    <phoneticPr fontId="1" type="noConversion"/>
  </si>
  <si>
    <t>증착색상 변경, 기존 네츄럴 재고 있으며 대체 가능</t>
    <phoneticPr fontId="1" type="noConversion"/>
  </si>
  <si>
    <t>SI1352</t>
  </si>
  <si>
    <t>M211168</t>
  </si>
  <si>
    <t>설화수 자음수 35ML 캡</t>
    <phoneticPr fontId="1" type="noConversion"/>
  </si>
  <si>
    <t>신제품 위한 색상 테스트, 타겟에 맞게 %별 사출 요청(타겟있음) %별로 100개</t>
    <phoneticPr fontId="1" type="noConversion"/>
  </si>
  <si>
    <t>SI1524</t>
  </si>
  <si>
    <t>M201128</t>
  </si>
  <si>
    <t>24-1122-7</t>
    <phoneticPr fontId="1" type="noConversion"/>
  </si>
  <si>
    <t>v=b 16cavity 콜드금형</t>
    <phoneticPr fontId="1" type="noConversion"/>
  </si>
  <si>
    <t>신제품 라네즈 유스 콜라겐 색상실험. 타겟에 맞게 %별 사출 요청(타겟있음) %별로 80개</t>
    <phoneticPr fontId="1" type="noConversion"/>
  </si>
  <si>
    <t>SI1569</t>
    <phoneticPr fontId="1" type="noConversion"/>
  </si>
  <si>
    <t>241202-5(동진)</t>
    <phoneticPr fontId="1" type="noConversion"/>
  </si>
  <si>
    <t>10일 논의 된 대로 양산 가능 사출조건으로 사출 해주세요</t>
    <phoneticPr fontId="1" type="noConversion"/>
  </si>
  <si>
    <t>PBT로 해야 하는데 사출PET로 진행되어서 다시 요청드립니다.</t>
    <phoneticPr fontId="1" type="noConversion"/>
  </si>
  <si>
    <t>표견 수량 부족, 증착 불량으로 표견 수량 부족함</t>
    <phoneticPr fontId="1" type="noConversion"/>
  </si>
  <si>
    <t>아모레모듈25ML 단캡</t>
    <phoneticPr fontId="1" type="noConversion"/>
  </si>
  <si>
    <t>라네즈견본25ML를 마몽드맨 견본으로 사용하기 위해 색상변경, 색상실험입니다. 금주 13일 전달해야 해서 12일 사출 요청드립니다.</t>
    <phoneticPr fontId="1" type="noConversion"/>
  </si>
  <si>
    <t>SI1400</t>
    <phoneticPr fontId="1" type="noConversion"/>
  </si>
  <si>
    <t>M241061_02</t>
    <phoneticPr fontId="1" type="noConversion"/>
  </si>
  <si>
    <t>24-1031-7</t>
    <phoneticPr fontId="1" type="noConversion"/>
  </si>
  <si>
    <t>프레스티지팀 사항입니다. 13일 제출할 수 있도록 부탁드립니다.</t>
    <phoneticPr fontId="1" type="noConversion"/>
  </si>
  <si>
    <t>2차 내용기, 파팅버나 나사경 치수 관리 내에 주요치수 최대한 크게 찍는 것이 목적, 도움이 되면 1차도 수정 예정</t>
    <phoneticPr fontId="1" type="noConversion"/>
  </si>
  <si>
    <t>파팅버나 나사경 치수 오버되지 않는 범위에서 기존치수보다 크게 찍습니다.</t>
    <phoneticPr fontId="1" type="noConversion"/>
  </si>
  <si>
    <t>T5 시사출, 수정사항 확인, 감촉 스토퍼 높이 및 길이 0.2mm씩 돌출량 키움.</t>
    <phoneticPr fontId="1" type="noConversion"/>
  </si>
  <si>
    <t>금형 입고 시 바로 사출해야 합니다.</t>
    <phoneticPr fontId="1" type="noConversion"/>
  </si>
  <si>
    <t>T5 시사출, 수정사항 확인 외경 키움. 기존 사출조건으로 찍고 외경 맞출 것</t>
    <phoneticPr fontId="1" type="noConversion"/>
  </si>
  <si>
    <t>금형 입고 시 바로 사출해야 합니다. - 외경 꼭 맞춰야 합니다. 이전 사출 조건 확인해주세요</t>
    <phoneticPr fontId="1" type="noConversion"/>
  </si>
  <si>
    <t>T5 시사출, 수정사항 확인 - DISC GATE 연결부 두께 보완 요청. (챔퍼 적용/금일 협의 내용 반영)
 - 내캡KEY조립 원형 리브에 GAS빼기(에어밴트) 추가 보완 요청.</t>
    <phoneticPr fontId="1" type="noConversion"/>
  </si>
  <si>
    <t>금형 입고 시 바로 사출해야 합니다. - 웰드 확인해야 합니다.</t>
    <phoneticPr fontId="1" type="noConversion"/>
  </si>
  <si>
    <t>색상이 않맞아 표견용 다시 사출, 타겟보고 %다시 조정해양 합니다.</t>
    <phoneticPr fontId="1" type="noConversion"/>
  </si>
  <si>
    <t>치수 수정 전 ABS로 사출해서 치수 확인하고 금형 치수 수정한다고 합니다.</t>
    <phoneticPr fontId="1" type="noConversion"/>
  </si>
  <si>
    <t>ABS</t>
    <phoneticPr fontId="1" type="noConversion"/>
  </si>
  <si>
    <t>품질문제 없고 양산가능한 조건으로 사출해주세요. 수정 후에도 지금 조건 유지해야 합니다!!</t>
    <phoneticPr fontId="1" type="noConversion"/>
  </si>
  <si>
    <t>1차 금형, 치수 주의, 테스트에서는 1,2차 구분없이 1차 내용기로 조립하랍니다</t>
    <phoneticPr fontId="1" type="noConversion"/>
  </si>
  <si>
    <t>1차 금형, 4M변경 테스트 및 표견용</t>
    <phoneticPr fontId="1" type="noConversion"/>
  </si>
  <si>
    <t>SI1588</t>
  </si>
  <si>
    <t>2차 금형, 치수 주의, 추가 테스트 있을 수 있어 미리 사출합니다. 점검 후 사출이 필요하면 미뤄도 됩니다.</t>
    <phoneticPr fontId="1" type="noConversion"/>
  </si>
  <si>
    <t>점검 후 사출이 필요하면 미뤄도 됩니다.</t>
  </si>
  <si>
    <t>2차 금형, 4M변경 테스트 및 표견용</t>
    <phoneticPr fontId="1" type="noConversion"/>
  </si>
  <si>
    <t>미장센 헬로 젤리 팡팡 상용기(글로우쿠션 금형)</t>
  </si>
  <si>
    <t>헤라글로우쿠션으로 색상 변경 진행 - MB입고완료, 무광코팅 사양입니다.</t>
    <phoneticPr fontId="1" type="noConversion"/>
  </si>
  <si>
    <t>미장센 헬로 젤리 팡팡 하용기</t>
  </si>
  <si>
    <t>헤라글로우쿠션으로 색상 변경 진행 - 하용기 먼저찍고 컴펌되면 상용기진행</t>
    <phoneticPr fontId="1" type="noConversion"/>
  </si>
  <si>
    <t>하용기만 먼저찍고 색상컨펌되면 하용기 찍도록 조정했습니다.</t>
    <phoneticPr fontId="1" type="noConversion"/>
  </si>
  <si>
    <t>미장센 헬로 젤리 팡팡 리필 상용기</t>
  </si>
  <si>
    <t>헤라글로우쿠션으로 색상 변경 진행</t>
    <phoneticPr fontId="1" type="noConversion"/>
  </si>
  <si>
    <t>상용기만 먼저찍고 색상 컨펌되면 하용기 찍도록 조정했습니다.</t>
    <phoneticPr fontId="1" type="noConversion"/>
  </si>
  <si>
    <t>미장센 헬로 젤리 팡팡 리필 하용기</t>
  </si>
  <si>
    <t>헤라글로우쿠션으로 색상 변경 진행 - 상용기 먼저찍고 컴펌되면 진행</t>
    <phoneticPr fontId="1" type="noConversion"/>
  </si>
  <si>
    <t>PBT 원료 확인해주세요</t>
    <phoneticPr fontId="1" type="noConversion"/>
  </si>
  <si>
    <t>POK 요청있습니다</t>
    <phoneticPr fontId="1" type="noConversion"/>
  </si>
  <si>
    <t>POK</t>
    <phoneticPr fontId="1" type="noConversion"/>
  </si>
  <si>
    <t>POK 원료 확인해주세요</t>
    <phoneticPr fontId="1" type="noConversion"/>
  </si>
  <si>
    <t>설화수 자음생크림 퍼펙팅 리치 견 10ml 내캡 (25AD,  7556469)</t>
    <phoneticPr fontId="1" type="noConversion"/>
  </si>
  <si>
    <t>PCR 적용을 위한 테스트</t>
    <phoneticPr fontId="1" type="noConversion"/>
  </si>
  <si>
    <t>SI1499</t>
    <phoneticPr fontId="1" type="noConversion"/>
  </si>
  <si>
    <t>CR PP(열분해유 기반 화학적 재활용 PP) 70% + PP (다원소재 DW-2360) 30% 혼합</t>
  </si>
  <si>
    <t>기존과 동일</t>
    <phoneticPr fontId="1" type="noConversion"/>
  </si>
  <si>
    <t>설화수 자음생크림 퍼펙팅 리치 견 10ml 외캡 (25AD,  7556469)</t>
    <phoneticPr fontId="1" type="noConversion"/>
  </si>
  <si>
    <t>PCR 적용을 위한 테스트 -&gt; 장업 테스트 결과 보고 진행 예정</t>
    <phoneticPr fontId="1" type="noConversion"/>
  </si>
  <si>
    <t>SI1556</t>
    <phoneticPr fontId="1" type="noConversion"/>
  </si>
  <si>
    <t>사출품질에 문제없는 범위에서 기존보다 외경 0.05~0.1 키워달라는 요청입니다</t>
    <phoneticPr fontId="1" type="noConversion"/>
  </si>
  <si>
    <t>새로온 MB</t>
    <phoneticPr fontId="1" type="noConversion"/>
  </si>
  <si>
    <t>라보 60ml 캡 찍은 뒤 장식 조립해보고 틈보이면 60ml 장식도 키워서 찍어야 할 수 있습니다</t>
    <phoneticPr fontId="1" type="noConversion"/>
  </si>
  <si>
    <t>2차 금형, 치수 주의</t>
    <phoneticPr fontId="1" type="noConversion"/>
  </si>
  <si>
    <t>1차 금형, 치수 주의, 2차 용기 치수에 맞출 것</t>
    <phoneticPr fontId="1" type="noConversion"/>
  </si>
  <si>
    <t>메탈코팅 적용, 색상을 화이트나 그레이 중 의사결정해준다고 합니다. 확인되면 올리겠습니다</t>
    <phoneticPr fontId="1" type="noConversion"/>
  </si>
  <si>
    <t>변경</t>
    <phoneticPr fontId="1" type="noConversion"/>
  </si>
  <si>
    <t>한율 백화고 기미단크림 캡</t>
    <phoneticPr fontId="1" type="noConversion"/>
  </si>
  <si>
    <t>성주에서 외주 색상실험, 용기는 확정되었고 캡은 다시 내고 있습니다.</t>
    <phoneticPr fontId="1" type="noConversion"/>
  </si>
  <si>
    <t>내측 구배 확인 필요, 추출 시 스크래치 발생여부 확인 요망, 외관양호 시 150개 사출요청</t>
    <phoneticPr fontId="1" type="noConversion"/>
  </si>
  <si>
    <t>외경 0.3 키움, 지나번보다 즉시규격 0.3 큰지 확인 요망, 증착loss감안해서 수량 요청</t>
    <phoneticPr fontId="1" type="noConversion"/>
  </si>
  <si>
    <t>색상 실험</t>
    <phoneticPr fontId="1" type="noConversion"/>
  </si>
  <si>
    <t>설화수 에센셜.퍼.탄력영양크림 75ML(21AD) 내캡</t>
  </si>
  <si>
    <t>설화수 자음수 퍼펙팅 EX 견35ML (25 AD)</t>
  </si>
  <si>
    <t>설화수 탄력영양크림 EX 견5ML (25AD) 용기 사출</t>
    <phoneticPr fontId="1" type="noConversion"/>
  </si>
  <si>
    <t>설화수 탄력영양크림 EX 견5ML (25AD) 캡</t>
  </si>
  <si>
    <t>(수출)라네즈 유스콜라겐드링크 25ml*30EA 패키지변경 25AD 캡</t>
  </si>
  <si>
    <t>게이트 주위 및 상단 웰드라인 등 불량 원인 파악 및 사출조건 조정</t>
    <phoneticPr fontId="1" type="noConversion"/>
  </si>
  <si>
    <t>최근 MB</t>
    <phoneticPr fontId="1" type="noConversion"/>
  </si>
  <si>
    <t>설화수 자음수 퍼펙팅 EX 시공품 5ML (25 AD)</t>
  </si>
  <si>
    <t>색상 실험(메탈코팅 나라와 태가에 나눠 보낼 예정입니다)</t>
    <phoneticPr fontId="1" type="noConversion"/>
  </si>
  <si>
    <t>DJ250113-5</t>
    <phoneticPr fontId="1" type="noConversion"/>
  </si>
  <si>
    <t>라네즈 시카슬리핑마스크 60ML (21AD 내용기</t>
  </si>
  <si>
    <t>라네즈 워터슬리핑마스크 70ML (20AD 단캡</t>
  </si>
  <si>
    <t>라네즈 워터슬리핑마스크 70ML (20AD 내용기</t>
  </si>
  <si>
    <t>색상 실험(그라데이션 코팅 나라와 태가에 나눠 보낼 예정입니다)</t>
    <phoneticPr fontId="1" type="noConversion"/>
  </si>
  <si>
    <t>미장센 헬로 젤리 팡팡 상용기(글로우쿠션 금형)</t>
    <phoneticPr fontId="1" type="noConversion"/>
  </si>
  <si>
    <t>색상 실험(상하용기 무광 코팅, 인쇄있습니다)</t>
    <phoneticPr fontId="1" type="noConversion"/>
  </si>
  <si>
    <t>미장센 헬로 젤리 팡팡 하용기</t>
    <phoneticPr fontId="1" type="noConversion"/>
  </si>
  <si>
    <t>색상 실험(무광 코팅)</t>
    <phoneticPr fontId="1" type="noConversion"/>
  </si>
  <si>
    <t>미장센 헬로 젤리 팡팡 리필 상용기</t>
    <phoneticPr fontId="1" type="noConversion"/>
  </si>
  <si>
    <t>미장센 헬로 젤리 팡팡 리필 하용기</t>
    <phoneticPr fontId="1" type="noConversion"/>
  </si>
  <si>
    <t>부식 확인 실험</t>
    <phoneticPr fontId="1" type="noConversion"/>
  </si>
  <si>
    <t>색상실험, 도면치수맞게 사출</t>
    <phoneticPr fontId="1" type="noConversion"/>
  </si>
  <si>
    <t>기능, 후가공테스트 40ea, 표견 20ea, 베르상스공유 20ea, 프리웍스 200ea</t>
    <phoneticPr fontId="1" type="noConversion"/>
  </si>
  <si>
    <t>장식은 증착 불량 감안해서 수량 넉넉히 찍는게 좋겠습니다.</t>
    <phoneticPr fontId="1" type="noConversion"/>
  </si>
  <si>
    <t>장식과 조립 시 뜨임 이슈로 금형 수정해서 들어옵니다. 수정확인용입니다.</t>
    <phoneticPr fontId="1" type="noConversion"/>
  </si>
  <si>
    <t>금형 입고되는대로 사출하면 됩니다.</t>
    <phoneticPr fontId="1" type="noConversion"/>
  </si>
  <si>
    <t>색상이 톤은 맞으나 채도가 더 낮았으면 좋겠다고 합니다. 색상실험 요청</t>
    <phoneticPr fontId="1" type="noConversion"/>
  </si>
  <si>
    <t>색상만 확인하는 용도로 수량 많이 필요 없습니다.</t>
    <phoneticPr fontId="1" type="noConversion"/>
  </si>
  <si>
    <t>라네즈 바운시 60ML (21AD 내용기</t>
    <phoneticPr fontId="1" type="noConversion"/>
  </si>
  <si>
    <t>색상 실험, 치수확인</t>
    <phoneticPr fontId="1" type="noConversion"/>
  </si>
  <si>
    <t>신금형</t>
    <phoneticPr fontId="1" type="noConversion"/>
  </si>
  <si>
    <t>냉각라인 문제로 금형 출고, 입고시 바로 사출 요망(2차)</t>
    <phoneticPr fontId="1" type="noConversion"/>
  </si>
  <si>
    <t>냉각라인 문제로 금형 출고, 입고시 바로 사출 요망</t>
    <phoneticPr fontId="1" type="noConversion"/>
  </si>
  <si>
    <t>증착 불량으로 다시 실험</t>
    <phoneticPr fontId="1" type="noConversion"/>
  </si>
  <si>
    <t>표견용 - AP에서 인쇄 변경으로 다시 제출 요청함</t>
    <phoneticPr fontId="1" type="noConversion"/>
  </si>
  <si>
    <t>인쇄 품질, 변경 내용 확인 바람. 특히 글자가 두껍거나 얇거나 높낮이가 치우치면 안됨</t>
    <phoneticPr fontId="1" type="noConversion"/>
  </si>
  <si>
    <t>판도라</t>
    <phoneticPr fontId="1" type="noConversion"/>
  </si>
  <si>
    <t>색상실험, 타겟참고해서 진행. MB입고 시 진행 요청, 필요시%별 샘플링</t>
    <phoneticPr fontId="1" type="noConversion"/>
  </si>
  <si>
    <t>라네즈 워터슬리핑마스크 70ML (20AD 외용기</t>
    <phoneticPr fontId="1" type="noConversion"/>
  </si>
  <si>
    <t>수량은 프리웍스 있는지 확인해서 조정 가능합니다.</t>
    <phoneticPr fontId="1" type="noConversion"/>
  </si>
  <si>
    <t>색상실험, 지난번 크게 사출한것에 맞춰 치수 확인할 것</t>
    <phoneticPr fontId="1" type="noConversion"/>
  </si>
  <si>
    <t>금요일 사출-&gt; 월요일 아침차편 나라 이동-&gt; 화요일 아침차편 입고입니다.</t>
    <phoneticPr fontId="1" type="noConversion"/>
  </si>
  <si>
    <t>목분 A, B, C</t>
    <phoneticPr fontId="1" type="noConversion"/>
  </si>
  <si>
    <t>3차 금형</t>
    <phoneticPr fontId="1" type="noConversion"/>
  </si>
  <si>
    <t>확정된 색상으로 샘플 제작 - 후가공 제출, 표견 등</t>
    <phoneticPr fontId="1" type="noConversion"/>
  </si>
  <si>
    <t>바뷰 슈퍼콜라겐 프래티넘-오버캡</t>
    <phoneticPr fontId="1" type="noConversion"/>
  </si>
  <si>
    <t>신제품 색상실험, 전상호님 타겟에 맞게 색상실험 요청</t>
    <phoneticPr fontId="1" type="noConversion"/>
  </si>
  <si>
    <t>금형 수리 하단부 레핑 확인</t>
    <phoneticPr fontId="1" type="noConversion"/>
  </si>
  <si>
    <t xml:space="preserve">5% 확정 </t>
    <phoneticPr fontId="1" type="noConversion"/>
  </si>
  <si>
    <t>J560S, POK 2가지로 사출</t>
    <phoneticPr fontId="1" type="noConversion"/>
  </si>
  <si>
    <t>2가지 원료 네츄럴</t>
    <phoneticPr fontId="1" type="noConversion"/>
  </si>
  <si>
    <t>프리메라 더 핸드크림 미스트 20ml  케이스</t>
  </si>
  <si>
    <t>표견용 - AP에서 인쇄불량으로 다시 제출 요청함(단톡방 참조)</t>
    <phoneticPr fontId="1" type="noConversion"/>
  </si>
  <si>
    <t>아모레 원터치캡 45파이</t>
  </si>
  <si>
    <t>아이팩 원터치캡</t>
    <phoneticPr fontId="1" type="noConversion"/>
  </si>
  <si>
    <t>표견에 맞게 색상 조정</t>
    <phoneticPr fontId="1" type="noConversion"/>
  </si>
  <si>
    <t>3월 21일</t>
    <phoneticPr fontId="1" type="noConversion"/>
  </si>
  <si>
    <t>프리메라 더 핸드크림 미스트 20ml 케이스(용기장식) 1299 중케이스</t>
    <phoneticPr fontId="1" type="noConversion"/>
  </si>
  <si>
    <t>색상실험</t>
    <phoneticPr fontId="1" type="noConversion"/>
  </si>
  <si>
    <t>SI1464</t>
  </si>
  <si>
    <t>M231269</t>
  </si>
  <si>
    <t>워슬마와 바운시 코팅 실험 위해 수량 필요</t>
    <phoneticPr fontId="1" type="noConversion"/>
  </si>
  <si>
    <t>수정 확인</t>
    <phoneticPr fontId="1" type="noConversion"/>
  </si>
  <si>
    <t>라네즈 바운시 60ML (20AD 단캡</t>
    <phoneticPr fontId="1" type="noConversion"/>
  </si>
  <si>
    <t>색상실험 - MB(기진행 됨), 컴파운딩</t>
    <phoneticPr fontId="1" type="noConversion"/>
  </si>
  <si>
    <t>PP로만 사출 요청, 제품명 수정 요청(사출힌지)</t>
    <phoneticPr fontId="1" type="noConversion"/>
  </si>
  <si>
    <t>PP</t>
    <phoneticPr fontId="1" type="noConversion"/>
  </si>
  <si>
    <t>라네즈 바운시슬리핑마스크 70ML (20AD 내용기</t>
  </si>
  <si>
    <t>색상 실험, 제품명 수정 요청(바운시)</t>
    <phoneticPr fontId="1" type="noConversion"/>
  </si>
  <si>
    <t>표견용 - AP에서 인쇄불량으로 다시 제출 요청함</t>
    <phoneticPr fontId="1" type="noConversion"/>
  </si>
  <si>
    <t>덴트롤 딥 클리 박하 솔트 샴프 180ml 원터치캡</t>
    <phoneticPr fontId="1" type="noConversion"/>
  </si>
  <si>
    <t>이성현님 색상실험-보라색, 타겟있음-색상 동일하면 100개, 다르면 50개</t>
    <phoneticPr fontId="1" type="noConversion"/>
  </si>
  <si>
    <t>4월2일</t>
    <phoneticPr fontId="1" type="noConversion"/>
  </si>
  <si>
    <t>설화수 자음수 150ml 외캡, 내캡</t>
    <phoneticPr fontId="1" type="noConversion"/>
  </si>
  <si>
    <t>키잡이 금형 수정 확인, 표견샘플 - 대동에서 금형 수정한 것 샘플 제출 필요</t>
    <phoneticPr fontId="1" type="noConversion"/>
  </si>
  <si>
    <t>4월3일</t>
  </si>
  <si>
    <t>25ml 단캡</t>
    <phoneticPr fontId="1" type="noConversion"/>
  </si>
  <si>
    <t>손보배님이 25ml 견본캡을 MB4C로 홀리츄얼 내캡과 같은 색상으로 제품낸다고 샘플 요청, 일정은 여유 있음 MB4C 저광소재 PP로 사출 요청</t>
    <phoneticPr fontId="1" type="noConversion"/>
  </si>
  <si>
    <t>색상 실험-대동MB 도착하면 바로 실험</t>
    <phoneticPr fontId="1" type="noConversion"/>
  </si>
  <si>
    <t>판도라 - 색상실험(타겟도착-mb맞춰서 실험해야 함)</t>
    <phoneticPr fontId="1" type="noConversion"/>
  </si>
  <si>
    <t>목분 테스트 30% 50%</t>
    <phoneticPr fontId="1" type="noConversion"/>
  </si>
  <si>
    <t>설화수자음생60ml 외캡/외용기, 아이오페 쿠션 상하용기, 홀리츄얼 외캡 - 이것으로 해달라기 보다는 이런 두께 용도의 금형으로 테스트 했으면 합니다. 금형 확정 및 일정 확정 필요합니다. 감사합니다.</t>
    <phoneticPr fontId="1" type="noConversion"/>
  </si>
  <si>
    <t>미쟝센 퍼펙트 오일 인퓨전 헤어 마스크150g(25 단캡</t>
  </si>
  <si>
    <t>T1 수축 확인해야 함, 조건으로 안되면 금형 수정예정</t>
    <phoneticPr fontId="1" type="noConversion"/>
  </si>
  <si>
    <t>미쟝센 퍼펙트 오일 인퓨전 헤어 마스크150g(25 단용기</t>
  </si>
  <si>
    <t>T1</t>
    <phoneticPr fontId="1" type="noConversion"/>
  </si>
  <si>
    <t>라네즈 바운시슬리핑마스크 70ML (20AD 단캡</t>
  </si>
  <si>
    <t>색상 실험 및 다원 원료 실험</t>
    <phoneticPr fontId="1" type="noConversion"/>
  </si>
  <si>
    <t>아이팩 라인테스트 및 후가공테스트 용 필요수량 100개, 표견용도 활용</t>
    <phoneticPr fontId="1" type="noConversion"/>
  </si>
  <si>
    <t>후가공테스트, 표견용 및 후가공 2원화 샘플링용</t>
    <phoneticPr fontId="1" type="noConversion"/>
  </si>
  <si>
    <t>신제품 색상실험, A-4%로 컨펌했으나 다시 2%, 3% 색상내달라고 하심</t>
    <phoneticPr fontId="1" type="noConversion"/>
  </si>
  <si>
    <t>열림강도 때문에 다시 사출, 아이팩에도 보내고 표견도 만들어야 함</t>
    <phoneticPr fontId="1" type="noConversion"/>
  </si>
  <si>
    <t>색상 실험-현재MB에서 펄함량 조금 up</t>
    <phoneticPr fontId="1" type="noConversion"/>
  </si>
  <si>
    <t>T2 실험, 수정사항 점검 용 * DW2360도 색상 맞춰서 같이 실험(30ea)</t>
    <phoneticPr fontId="1" type="noConversion"/>
  </si>
  <si>
    <r>
      <t>담당자가 기능테스트(30) 및 라인테스트용(100+</t>
    </r>
    <r>
      <rPr>
        <sz val="11"/>
        <color theme="1"/>
        <rFont val="Calibri"/>
        <family val="3"/>
        <charset val="161"/>
      </rPr>
      <t>α</t>
    </r>
    <r>
      <rPr>
        <sz val="7.7"/>
        <color theme="1"/>
        <rFont val="맑은 고딕"/>
        <family val="3"/>
        <charset val="129"/>
      </rPr>
      <t>)</t>
    </r>
    <r>
      <rPr>
        <sz val="11"/>
        <color theme="1"/>
        <rFont val="맑은 고딕"/>
        <family val="2"/>
        <charset val="129"/>
        <scheme val="minor"/>
      </rPr>
      <t>로 사출요청</t>
    </r>
    <phoneticPr fontId="1" type="noConversion"/>
  </si>
  <si>
    <t>판도라 캡</t>
    <phoneticPr fontId="1" type="noConversion"/>
  </si>
  <si>
    <t>확정된 용기 색상에 맞춰 사출, 용기와 캡 유해물질 테스트 송부용 수량 필요</t>
    <phoneticPr fontId="1" type="noConversion"/>
  </si>
  <si>
    <t xml:space="preserve">목분 사출 4월 중 진행할 수 있도록 고민해주세요. </t>
    <phoneticPr fontId="1" type="noConversion"/>
  </si>
  <si>
    <t>라네즈 워슬마 캡 태가에 보낼 것 언제 사출할지 고민해주세요</t>
    <phoneticPr fontId="1" type="noConversion"/>
  </si>
  <si>
    <t>에이피 에이오 리부트 앤 리뉴 크림 50ml캡 외캡</t>
  </si>
  <si>
    <t>7536696  - 실버증착 신제품 샘플용</t>
    <phoneticPr fontId="1" type="noConversion"/>
  </si>
  <si>
    <t>에이피 에이오 리부트 앤 리뉴 크림 50ml캡 내캡</t>
  </si>
  <si>
    <t>7536696  - black으로 사출요망</t>
    <phoneticPr fontId="1" type="noConversion"/>
  </si>
  <si>
    <t>에이피 에이오 리부트 앤 리뉴 크림 50ml캡 숄더</t>
    <phoneticPr fontId="1" type="noConversion"/>
  </si>
  <si>
    <t>프리메라 더 핸드크림 미스트 20ml 케이스(용기장식) 1299 외케이스</t>
    <phoneticPr fontId="1" type="noConversion"/>
  </si>
  <si>
    <t>SI1463 :  - 네츄럴로 사출요청 - 기존제품과 신제품 각기 증착해서 조립샘플 작업 예정</t>
    <phoneticPr fontId="1" type="noConversion"/>
  </si>
  <si>
    <t xml:space="preserve"> - 테스트 불합격으로 다시 제출 예정, 태가 보낼 것 같이하려면 수량 400개로</t>
    <phoneticPr fontId="1" type="noConversion"/>
  </si>
  <si>
    <t>7025191 헤라 UV미스트쿠션C21(견 5G(AD 내용기링</t>
    <phoneticPr fontId="1" type="noConversion"/>
  </si>
  <si>
    <t>감량 이슈로 링 작게 사출요청: 44.1 부위를 44.0~44.05로 사출요망</t>
    <phoneticPr fontId="1" type="noConversion"/>
  </si>
  <si>
    <t xml:space="preserve">아모스 60파이 원터치캡 </t>
  </si>
  <si>
    <t>색상실험 샘플 - MB 2가지</t>
    <phoneticPr fontId="1" type="noConversion"/>
  </si>
  <si>
    <t>펄사출</t>
    <phoneticPr fontId="1" type="noConversion"/>
  </si>
  <si>
    <t>아이팩 라인테스트 및 후가공테스트 용 필요수량 150개, 표견용도 활용</t>
    <phoneticPr fontId="1" type="noConversion"/>
  </si>
  <si>
    <t>프리메라 오가 리페어씨드 펩타이드 크림50ml(23 캡</t>
  </si>
  <si>
    <t>(EUSA)라네즈 실키앤스무스 토너 150mL (26 외캡</t>
  </si>
  <si>
    <t>T1, 감압누수테스트 예정, 테스트 문제없으면 기능 제출 예정, MB입고 되어 있습니다. ABS</t>
    <phoneticPr fontId="1" type="noConversion"/>
  </si>
  <si>
    <t>(EUSA)라네즈 실키앤스무스 토너 150mL (26 내캡</t>
  </si>
  <si>
    <t>T1, 감압누수테스트 예정, 테스트 문제없으면 기능 제출 예정, MB입고 되어 있습니다. DW</t>
    <phoneticPr fontId="1" type="noConversion"/>
  </si>
  <si>
    <t>T2, 금형 수정 후 23일 입고 예정. 24일 사출요청</t>
    <phoneticPr fontId="1" type="noConversion"/>
  </si>
  <si>
    <t>라네즈 옴므블루에너지스킨토너EX(견50ML(25) 외캡</t>
  </si>
  <si>
    <t>색상실험 - 반드시 색상타겟 보면서 확인 요청(재질 강성함님께 확인하겠음) - 타겟 용기와 같아 보여야 한다고 합니다(불투명)</t>
    <phoneticPr fontId="1" type="noConversion"/>
  </si>
  <si>
    <t>7462989 라네즈 옴므불루에너지스킨토너 EX(견50ml 외캡</t>
  </si>
  <si>
    <t>라네즈 옴므블루에너지스킨토너EX(견50ML(25) 내캡</t>
  </si>
  <si>
    <t>색상실험 - 반드시 색상타겟 보면서 확인 요청 - 짙은 남색이라고 합니다. MB다시 맞추라고 했습니다</t>
    <phoneticPr fontId="1" type="noConversion"/>
  </si>
  <si>
    <t>7462989 라네즈 옴므불루에너지스킨토너 EX(견50ml 내캡</t>
  </si>
  <si>
    <t>MB들어오면 바로 사출해주세요</t>
    <phoneticPr fontId="1" type="noConversion"/>
  </si>
  <si>
    <t>설화수자음생크림 외캡</t>
    <phoneticPr fontId="1" type="noConversion"/>
  </si>
  <si>
    <t>목분사출 얘기한대로 설화수 외캡(두꺼운 것), 후가공 테스트 위해 이왕찍을 때 가능한 수량 많으면 좋겠지만 상황에 따라 조정해주세요</t>
    <phoneticPr fontId="1" type="noConversion"/>
  </si>
  <si>
    <t>AP빈티지 에센스 30ML 외캡</t>
    <phoneticPr fontId="1" type="noConversion"/>
  </si>
  <si>
    <t>목분사출 두께 얇은 것 - PCTA수축율이 ABS와 어떻게 되나요?</t>
    <phoneticPr fontId="1" type="noConversion"/>
  </si>
  <si>
    <t>SI0783</t>
    <phoneticPr fontId="1" type="noConversion"/>
  </si>
  <si>
    <t>코팅 개선 샘플 제작용 (나라, 태가)</t>
    <phoneticPr fontId="1" type="noConversion"/>
  </si>
  <si>
    <t>차주 수요일까지 라인테스트 100개 제출해야함. 화요일까지 사출요망!</t>
    <phoneticPr fontId="1" type="noConversion"/>
  </si>
  <si>
    <t>색상실험 - 색상타겟 보면서 % 3가지로 사출해달라고 함(MB번호 다시 받아서 요청 중임, 이번주 중 입고 예정)</t>
    <phoneticPr fontId="1" type="noConversion"/>
  </si>
  <si>
    <t>나라,태가 코팅 불합격 테스트 진행</t>
    <phoneticPr fontId="1" type="noConversion"/>
  </si>
  <si>
    <t>7536696  - 실버증착 신제품 샘플용 - 라인테스트 수량 부족(내캡은 있음), 표견 포함</t>
    <phoneticPr fontId="1" type="noConversion"/>
  </si>
  <si>
    <t>7536696  - 실버증착 신제품 샘플용 - 라인테스트 수량 부족, 표견 포함</t>
    <phoneticPr fontId="1" type="noConversion"/>
  </si>
  <si>
    <t>자음수 150ml 대동 키잡이 수정 확인 후 시사출, 수정 확인 및 표견용 샘플용</t>
    <phoneticPr fontId="1" type="noConversion"/>
  </si>
  <si>
    <t>수정 확인, MB들어오면 한번 더 진행 예정</t>
    <phoneticPr fontId="1" type="noConversion"/>
  </si>
  <si>
    <t>수정 확인 후 문제없으면 기능테스트 제출 예정, 금형 입고시 바로 진행 요청</t>
    <phoneticPr fontId="1" type="noConversion"/>
  </si>
  <si>
    <t>신원 MB실험</t>
    <phoneticPr fontId="1" type="noConversion"/>
  </si>
  <si>
    <t>신원 MB실험(금형 동작 확인)</t>
    <phoneticPr fontId="1" type="noConversion"/>
  </si>
  <si>
    <t>내캡 추가 수정 - 캡뜨임 부족으로 내고 조정 및 리브 보강(금형 입고시 바로 사출 요망)</t>
    <phoneticPr fontId="1" type="noConversion"/>
  </si>
  <si>
    <t>금형 입고 시 바로 시사출 진행 요청, 요청MB로 해야 함</t>
    <phoneticPr fontId="1" type="noConversion"/>
  </si>
  <si>
    <t>요청MB로 사출해주세요(라벨테스트, 후가공테스트, 기능테스트 제출)</t>
    <phoneticPr fontId="1" type="noConversion"/>
  </si>
  <si>
    <t>설화수 자음수 150ml</t>
    <phoneticPr fontId="1" type="noConversion"/>
  </si>
  <si>
    <t>자음수 150ml 대동 키잡이 수정 확인 후 시사출, 수정 확인 및 표견용 샘플용 - 추가 수정 후 입고되면 바로 해주세요</t>
    <phoneticPr fontId="1" type="noConversion"/>
  </si>
  <si>
    <t>홀리추얼 울트라 너리싱 어드밴스드 토너 150ML 외캡 사출</t>
  </si>
  <si>
    <t>T1(MB 색상 맞춰서 사출 요망)</t>
    <phoneticPr fontId="1" type="noConversion"/>
  </si>
  <si>
    <t>홀리추얼 울트라 너리싱 어드밴스드 토너 150ML 캡장식 사출</t>
  </si>
  <si>
    <t>홀리추얼 울트라 너리싱 어드밴스드 토너 150ML 내캡</t>
  </si>
  <si>
    <t>7536696  - 실버증착 신제품 샘플용 - 인쇄박리로 다시 제출 필요, 긴급!!! 7월17일 생산회의, 후가공테스트 및 표견용 샘플 확보 수량</t>
    <phoneticPr fontId="1" type="noConversion"/>
  </si>
  <si>
    <t>손보배님이 25ml 견본캡을 MB4C로 홀리츄얼 내캡과 같은 색상으로 제품낸다고 샘플 요청, 일정은 여유 있음 MB4C 저광소재 PP로 사출 요청 -&gt; 지난번 샘플로 포장재 테스트 진행한다고 합니다. 표견용 사출샘플 필요하다고 해서 추가 진행 요청입니다. 신제품이름은 홀리추얼 토너 25ML 라고 합니다</t>
    <phoneticPr fontId="1" type="noConversion"/>
  </si>
  <si>
    <t xml:space="preserve">아모스 60파이 사각 원터치캡 </t>
    <phoneticPr fontId="1" type="noConversion"/>
  </si>
  <si>
    <t>색상실험 -&gt; MB 입고 시 실험</t>
    <phoneticPr fontId="1" type="noConversion"/>
  </si>
  <si>
    <r>
      <t>계속 캡뜨임 불합격 판정으로 재질을</t>
    </r>
    <r>
      <rPr>
        <b/>
        <sz val="11"/>
        <color rgb="FFFF0000"/>
        <rFont val="맑은 고딕"/>
        <family val="3"/>
        <charset val="129"/>
        <scheme val="minor"/>
      </rPr>
      <t xml:space="preserve"> 4017</t>
    </r>
    <r>
      <rPr>
        <sz val="11"/>
        <color theme="1"/>
        <rFont val="맑은 고딕"/>
        <family val="2"/>
        <charset val="129"/>
        <scheme val="minor"/>
      </rPr>
      <t>로 변경해보라는 요청</t>
    </r>
    <phoneticPr fontId="1" type="noConversion"/>
  </si>
  <si>
    <t>15ml 견본캡( 7000562 라네즈 에센셜파워스킨_UM(견 15ML(16) 캡??)</t>
    <phoneticPr fontId="1" type="noConversion"/>
  </si>
  <si>
    <t>손보배님 메일 참조, 신제품 개발로 요청, 해당 제품이 맞는지 확인 요청, 메일 내용 참조</t>
    <phoneticPr fontId="1" type="noConversion"/>
  </si>
  <si>
    <t>설화수 진설명작크림 (견) 5ML (AD 외캡</t>
    <phoneticPr fontId="1" type="noConversion"/>
  </si>
  <si>
    <t xml:space="preserve">T1 시사출 </t>
    <phoneticPr fontId="1" type="noConversion"/>
  </si>
  <si>
    <t>설화수 진설명작크림 (견) 5ML (AD 내캡</t>
  </si>
  <si>
    <t>T1 시사출</t>
    <phoneticPr fontId="1" type="noConversion"/>
  </si>
  <si>
    <t>설화수 진설명작크림 (견) 5ML (AD 단용기</t>
  </si>
  <si>
    <t>설화수 진설명작크림 (견) 5ML (AD 용기받침</t>
  </si>
  <si>
    <t>설화수 진설명작크림 (견) 10ML (AD 사출덮개</t>
  </si>
  <si>
    <t>설화수 진설명작크림 (견) 10ML (AD 외캡</t>
  </si>
  <si>
    <t>설화수 진설명작크림 (견) 10ML (AD 내캡</t>
  </si>
  <si>
    <t>설화수 진설명작크림 (견) 10ML (AD 단용기</t>
  </si>
  <si>
    <t>설화수 진설명작크림 (견) 10ML (AD 용기받침</t>
  </si>
  <si>
    <t>설화수 진설명작크림 60ML (26AD 내캡</t>
  </si>
  <si>
    <t>설화수 진설명작크림 60ML (26AD 캡장식-하단링</t>
  </si>
  <si>
    <t>설화수 진설명작크림 60ML (26AD 사출덮개</t>
  </si>
  <si>
    <t>설화수 진설명작크림 60ML (26AD 중용기</t>
  </si>
  <si>
    <t>설화수 진설명작크림 60ML (26AD 내용기</t>
  </si>
  <si>
    <t>설화수 진설명작크림 60ML (26AD 외용기</t>
  </si>
  <si>
    <t>설화수 진설명작크림 60ML (26AD 용기받침 사출</t>
  </si>
  <si>
    <t>설화수 진설명작크림 60ML (26AD 숄더장식 사출</t>
  </si>
  <si>
    <t>설화수 진설명작크림 60ML (26AD 스파츌러대 사출</t>
  </si>
  <si>
    <t>설화수 진설명작크림 리필 60ML (26AD 단캡</t>
  </si>
  <si>
    <t>라인테스트 및 표견 용 - 빨리 진행 요청드립니다</t>
    <phoneticPr fontId="1" type="noConversion"/>
  </si>
  <si>
    <t>홀리추얼 울트라 너리싱 어드밴스드 토너 150ML 캡장식 사출</t>
    <phoneticPr fontId="1" type="noConversion"/>
  </si>
  <si>
    <t>라인테스트 및 표견 용</t>
    <phoneticPr fontId="1" type="noConversion"/>
  </si>
  <si>
    <t>7536696  - black으로 사출요망, 스토퍼 부위 실바리 및 위치 주의, 나사선 백화 주의, 나사경 치수 확인 필수(도면치수 47.4)!! - 기능30개 생산회의 및 표견 용</t>
    <phoneticPr fontId="1" type="noConversion"/>
  </si>
  <si>
    <t>MB 4% 확정, 라인테스트 2,000EA제출, 표견용 수량</t>
    <phoneticPr fontId="1" type="noConversion"/>
  </si>
  <si>
    <t>설화수 진설명작크림 (견) 5ML (AD 사출덮개</t>
  </si>
  <si>
    <t>PETG로 사출해야 함!!! 무게 중심 이슈로 고중량 abs검토 중, 구하기 전에 비중이 큰 소재로 사출해서 테스트해보겠다고 함</t>
    <phoneticPr fontId="1" type="noConversion"/>
  </si>
  <si>
    <t>PETG로 사출해야 함!!! 무게 중심 이슈로 고중량 abs검토 중, 구하기 전에 비중이 큰 소재로 사출해서 테스트해보겠다고 함</t>
  </si>
  <si>
    <t>내고 규격 수정</t>
    <phoneticPr fontId="1" type="noConversion"/>
  </si>
  <si>
    <t>방향 수정</t>
    <phoneticPr fontId="1" type="noConversion"/>
  </si>
  <si>
    <t>목분 실험요청</t>
    <phoneticPr fontId="1" type="noConversion"/>
  </si>
  <si>
    <t>T2 시사출 후가공, 조립을 위해 수량 200개로 요청합니다.</t>
    <phoneticPr fontId="1" type="noConversion"/>
  </si>
  <si>
    <t xml:space="preserve">T2 시사출 </t>
    <phoneticPr fontId="1" type="noConversion"/>
  </si>
  <si>
    <t>요청일</t>
    <phoneticPr fontId="1" type="noConversion"/>
  </si>
  <si>
    <t>김도균요청</t>
    <phoneticPr fontId="1" type="noConversion"/>
  </si>
  <si>
    <t/>
  </si>
  <si>
    <t>A(24H후)</t>
    <phoneticPr fontId="1" type="noConversion"/>
  </si>
  <si>
    <t>B(24H후)</t>
    <phoneticPr fontId="1" type="noConversion"/>
  </si>
  <si>
    <t>C_24H후</t>
    <phoneticPr fontId="1" type="noConversion"/>
  </si>
  <si>
    <t>제품명</t>
  </si>
  <si>
    <t>제품도면번호</t>
  </si>
  <si>
    <t>품목도면번호</t>
  </si>
  <si>
    <t>품목코드</t>
  </si>
  <si>
    <t>금형번호</t>
  </si>
  <si>
    <t>개취수</t>
  </si>
  <si>
    <t>사양</t>
  </si>
  <si>
    <t>생산처</t>
  </si>
  <si>
    <t>도면_무게</t>
  </si>
  <si>
    <t>완제품코드</t>
  </si>
  <si>
    <t>구버전</t>
  </si>
  <si>
    <t>색상</t>
  </si>
  <si>
    <t>금형명</t>
  </si>
  <si>
    <t>설화수 진설클렌징폼 견본 40ml (25AD 내캡 박1도</t>
  </si>
  <si>
    <t>A6797</t>
  </si>
  <si>
    <t>A6797_INNER CAP</t>
  </si>
  <si>
    <t>M241285_01</t>
  </si>
  <si>
    <t>(주)선일</t>
  </si>
  <si>
    <t>SI1553</t>
  </si>
  <si>
    <t>PP (롯데케미칼 J-560S)</t>
  </si>
  <si>
    <t>설화수 진설클렌징폼 견본 40ml (25AD 외캡 코팅</t>
  </si>
  <si>
    <t>A6797_OUTER CAP</t>
  </si>
  <si>
    <t>설화수 진설클렌징폼 견본 50ml (25AD 인덕션실링지</t>
  </si>
  <si>
    <t>(주)영천씰테크</t>
  </si>
  <si>
    <t>설화수 진설클렌징폼 견본 50ml (25AD 가스켓</t>
  </si>
  <si>
    <t>발포 PE ( 저발포[PET/EPE Foam 1.5T])</t>
  </si>
  <si>
    <t>설화수 진설클렌징폼 150ml (25AD 캡장식 증착</t>
  </si>
  <si>
    <t>A6787</t>
  </si>
  <si>
    <t>A6787_CAP DECO</t>
  </si>
  <si>
    <t>M241247_01</t>
  </si>
  <si>
    <t>실버증착</t>
  </si>
  <si>
    <t>SI1537</t>
  </si>
  <si>
    <t>ABS (롯데첨단소재 MP-0670)</t>
  </si>
  <si>
    <t>설화수 진설클렌징폼 150ml (25AD 외캡 코팅</t>
  </si>
  <si>
    <t>A6787_OUTER CAP</t>
  </si>
  <si>
    <t>M241246_01</t>
  </si>
  <si>
    <t>백색코팅</t>
  </si>
  <si>
    <t>SI1538</t>
  </si>
  <si>
    <t>A6787_INNER CAP</t>
  </si>
  <si>
    <t>SI1539</t>
  </si>
  <si>
    <t>M241245_01</t>
  </si>
  <si>
    <t>설화수 진설클렌징폼 150ml (25AD 인덕션실링지</t>
  </si>
  <si>
    <t>다층재질(실링지) (프리몰드 프리몰드)</t>
  </si>
  <si>
    <t>설화수 진설클렌징폼 150ml (25AD 가스켓</t>
  </si>
  <si>
    <t>아이오페 스템Ⅲ 클리니컬 리커버리 크림 50ML(25) 캡장식 증착</t>
  </si>
  <si>
    <t>A6801</t>
  </si>
  <si>
    <t>A6801_CAP DECO</t>
  </si>
  <si>
    <t>M241344_01</t>
  </si>
  <si>
    <t>SILVER VACUUM PLATING</t>
  </si>
  <si>
    <t>아이오페 스템Ⅲ 클리니컬 리커버리 크림 50ML(25) 캡장식</t>
  </si>
  <si>
    <t>SI1540</t>
  </si>
  <si>
    <t>아이오페 스템Ⅲ 클리니컬 리커버리 크림 50ML(25) 외캡 코팅</t>
  </si>
  <si>
    <t>A6801_OUTER CAP</t>
  </si>
  <si>
    <t>M241342_01</t>
  </si>
  <si>
    <t>코팅 투명클리어</t>
  </si>
  <si>
    <t>아이오페 스템Ⅲ 클리니컬 리커버리 크림 50ML(25) 외캡</t>
  </si>
  <si>
    <t>SI1541</t>
  </si>
  <si>
    <t>아이오페 스템Ⅲ 클리니컬 리커버리 크림 50ML(25) 내캡 증착</t>
  </si>
  <si>
    <t>A6801_INNER CAP</t>
  </si>
  <si>
    <t>M241343_01</t>
  </si>
  <si>
    <t>아이오페 스템Ⅲ 클리니컬 리커버리 크림 50ML(25) 내캡</t>
  </si>
  <si>
    <t>SI1542</t>
  </si>
  <si>
    <t>아이오페 스템Ⅲ 클리니컬 리커버리 크림 50ML(25) 가스켓</t>
  </si>
  <si>
    <t>발포 PE ( 프리몰드)</t>
  </si>
  <si>
    <t>A6801_INNER JAR</t>
  </si>
  <si>
    <t>SI1543</t>
  </si>
  <si>
    <t>M241341_01</t>
  </si>
  <si>
    <t>A6798</t>
  </si>
  <si>
    <t>A6798_OUTER CAP</t>
  </si>
  <si>
    <t>SI1544</t>
  </si>
  <si>
    <t>M241283_01</t>
  </si>
  <si>
    <t>A6798_INNER CAP</t>
  </si>
  <si>
    <t>SI1545</t>
  </si>
  <si>
    <t>M241282_01</t>
  </si>
  <si>
    <t>A5790</t>
  </si>
  <si>
    <t>SI0993</t>
  </si>
  <si>
    <t>M170748_01, M241294_02</t>
  </si>
  <si>
    <t>PP (다원소재 DW-2360)</t>
  </si>
  <si>
    <t>일리윤 프로바이오틱스 스킨 배리어 크림 100ML</t>
  </si>
  <si>
    <t>일리윤 프로바이오틱스 스킨 배리어 크림 100ML고발포 폴라이트</t>
  </si>
  <si>
    <t>일리윤 히알루론모이스춰수분크림 100ML (24 외용기 인쇄</t>
  </si>
  <si>
    <t>M170746_01, M241296_02</t>
  </si>
  <si>
    <t>실크인쇄,2도</t>
  </si>
  <si>
    <t>SI0992</t>
  </si>
  <si>
    <t>SI0994</t>
  </si>
  <si>
    <t>M170747_01, M241295_02</t>
  </si>
  <si>
    <t>A6749</t>
  </si>
  <si>
    <t>A6749_INNER CAP</t>
  </si>
  <si>
    <t>M241147_01, M241155_02</t>
  </si>
  <si>
    <t>아이오페 슈퍼바이탈 크림 리치 50ML(EC(23AD 내캡</t>
  </si>
  <si>
    <t>A6749_OUTER CAP</t>
  </si>
  <si>
    <t>SI1516</t>
  </si>
  <si>
    <t>M241148_01, M241156_02</t>
  </si>
  <si>
    <t>PET (SK케미칼 Claro 200)</t>
  </si>
  <si>
    <t>아이오페 슈퍼바이탈 크림 리치 50ML(EC(23AD 외캡</t>
  </si>
  <si>
    <t>A6749_CAP DECO</t>
  </si>
  <si>
    <t>SI1515</t>
  </si>
  <si>
    <t>M241149_01, M241157_02</t>
  </si>
  <si>
    <t>아이오페 슈퍼바이탈 크림 리치 50ML(EC(23AD 캡장식</t>
  </si>
  <si>
    <t>아이오페 슈퍼바이탈 크림 50ML(24EC 가스켓</t>
  </si>
  <si>
    <t>A6749_INNER JAR</t>
  </si>
  <si>
    <t>M241150_01, M241158_02</t>
  </si>
  <si>
    <t>PP (폴리미래 RC5056)</t>
  </si>
  <si>
    <t>아이오페 슈퍼바이탈 크림 리치 50ML(EC(23AD 내용기</t>
  </si>
  <si>
    <t>A6749_OUTER JAR</t>
  </si>
  <si>
    <t>SI1518</t>
  </si>
  <si>
    <t>M241151_01, M241159_02</t>
  </si>
  <si>
    <t>T0001-&gt;SI1518변경</t>
  </si>
  <si>
    <t>아이오페 슈퍼바이탈 크림 리치 50ML(EC(23AD 외용기</t>
  </si>
  <si>
    <t>A6749_JAR SUPPORT</t>
  </si>
  <si>
    <t>SI1520</t>
  </si>
  <si>
    <t>M241152_01, M241160_02</t>
  </si>
  <si>
    <t>아이오페 슈퍼바이탈 크림 리치 50ML(EC(23AD 용기장식</t>
  </si>
  <si>
    <t>아이오페 슈퍼바이탈 크림 50ML(24EC 밑라벨</t>
  </si>
  <si>
    <t>헤라 리플렉션 글쿠 파데 21N1(견 5g(25) 쿠션 용기</t>
  </si>
  <si>
    <t>A6764</t>
  </si>
  <si>
    <t>A5208</t>
  </si>
  <si>
    <t>헤라 리플렉션 글쿠 파데 21N1(견 5g(25) 상용기</t>
  </si>
  <si>
    <t>A5208_COMPACT UPPER CASE</t>
  </si>
  <si>
    <t>M241190_02</t>
  </si>
  <si>
    <t>헤라 블랙(글로우) 쿠션파운데이션 21N1_5g(견  상용기</t>
  </si>
  <si>
    <t>헤라 리플렉션 글쿠 파데 21N1(견 5g(25) 하용기</t>
  </si>
  <si>
    <t>M241191_02</t>
  </si>
  <si>
    <t>헤라 블랙(글로우) 쿠션파운데이션 21N1_5g(견  하용기</t>
  </si>
  <si>
    <t>A6795</t>
  </si>
  <si>
    <t>S241013_01</t>
  </si>
  <si>
    <t>플라스틱 사출 핀 핀</t>
  </si>
  <si>
    <t>A6660</t>
  </si>
  <si>
    <t>A6660_OUTER CAP</t>
  </si>
  <si>
    <t>T0003</t>
  </si>
  <si>
    <t>M231236_01</t>
  </si>
  <si>
    <t>PCR ABS (LG화학 MRC380D5(50%))</t>
  </si>
  <si>
    <t>오딧세이 블랙 스킨 리파이너 130ML (23AD)(착인) 외캡</t>
  </si>
  <si>
    <t>A6660_INNER CAP</t>
  </si>
  <si>
    <t>SI1447</t>
  </si>
  <si>
    <t>M231237_01</t>
  </si>
  <si>
    <t>PCR PP (LG화학 PM5010W 50%)</t>
  </si>
  <si>
    <t>오딧세이 블랙 스킨 리파이너 130ML (23AD)(착인) 내캡</t>
  </si>
  <si>
    <t>A6232</t>
  </si>
  <si>
    <t>A6232_JAR</t>
  </si>
  <si>
    <t>SI1555</t>
  </si>
  <si>
    <t>M201153_01</t>
  </si>
  <si>
    <t>설화수 탄력크림 견5ML (21NEW 단용기</t>
  </si>
  <si>
    <t>헤라 리플렉션 글쿠 파데 21N1(견5g25)리필용기(1세대 쿠션</t>
  </si>
  <si>
    <t>헤라 리플렉션 글쿠 파데 21N1(견 5g(25)리필상용기</t>
  </si>
  <si>
    <t>A5208_REFILL UPPER CASE</t>
  </si>
  <si>
    <t>M241192_02</t>
  </si>
  <si>
    <t>LDPE (한화케미칼 5321) (30%)
PP (롯데케미칼 J-560S) (70%)</t>
  </si>
  <si>
    <t>헤라 블랙(글로우) 쿠션파운데이션 21N1_5g(견  리필상용기</t>
  </si>
  <si>
    <t>헤라 리플렉션 글쿠 파데 21N1(견 5g(25) 리필하용기</t>
  </si>
  <si>
    <t>A5208_REFILL LOWER CASE</t>
  </si>
  <si>
    <t>M241193_02</t>
  </si>
  <si>
    <t>헤라 블랙(글로우) 쿠션파운데이션 21N1_5g(견  리필하용기</t>
  </si>
  <si>
    <t>헤라 글쿠 파데 21N1(견5g(25)리필링+컨덕션실링지</t>
  </si>
  <si>
    <t>헤라 글로우 쿠션 파운데이션21N1(견 5g(24) 리필링</t>
  </si>
  <si>
    <t>A6764_REFILL RING</t>
  </si>
  <si>
    <t>SI1550</t>
  </si>
  <si>
    <t>M241171_01</t>
  </si>
  <si>
    <t>헤라 글로우 쿠션 파운데이션21N1(견 5g(24) 리필링(메시커버)</t>
  </si>
  <si>
    <t>헤라 글로우 쿠션 파운데이션21N1(견 5g(24) 메쉬망</t>
  </si>
  <si>
    <t>헤라 글로우 쿠션 파운데이션21N1(견) 5g(25) 컨덕션실링지</t>
  </si>
  <si>
    <t>A3632</t>
  </si>
  <si>
    <t>SI1089</t>
  </si>
  <si>
    <t>M130374_01</t>
  </si>
  <si>
    <t>J560S KS18-1228-7 5%</t>
  </si>
  <si>
    <t>금색펄 사출(7917 캡 동일컬러)</t>
  </si>
  <si>
    <t>아이오페 에어쿠션 선블럭 견본 4ml 캡 2차</t>
  </si>
  <si>
    <t>SI1088</t>
  </si>
  <si>
    <t>M130373_01</t>
  </si>
  <si>
    <t>J560S KS18-1219 5%</t>
  </si>
  <si>
    <t>베이지컬러 사출 black 1도 실크인쇄</t>
  </si>
  <si>
    <t>아이오페 에어쿠션 선블럭 견본 4ml 용기 2차</t>
  </si>
  <si>
    <t>A6794</t>
  </si>
  <si>
    <t>SI1557</t>
  </si>
  <si>
    <t>M241332-01</t>
  </si>
  <si>
    <t>White</t>
  </si>
  <si>
    <t>SI1558</t>
  </si>
  <si>
    <t>M241331-01</t>
  </si>
  <si>
    <t>A6802</t>
  </si>
  <si>
    <t>SI1559</t>
  </si>
  <si>
    <t>M241336-01</t>
  </si>
  <si>
    <t>SI1560</t>
  </si>
  <si>
    <t>M241335-01</t>
  </si>
  <si>
    <t>비나우 마일드 틴트 외캡</t>
  </si>
  <si>
    <t>JU24-038</t>
  </si>
  <si>
    <t>SI1562</t>
  </si>
  <si>
    <t>PETG KS B0412</t>
  </si>
  <si>
    <t>A6396</t>
  </si>
  <si>
    <t>A6396_INNER CAP</t>
  </si>
  <si>
    <t>SI1568</t>
  </si>
  <si>
    <t>M211167_01</t>
  </si>
  <si>
    <t>A6542</t>
  </si>
  <si>
    <t>A6542_CAP</t>
  </si>
  <si>
    <t>SI1569</t>
  </si>
  <si>
    <t>M231323_04</t>
  </si>
  <si>
    <t>VB 슈퍼콜라겐 앰플 AD 25ML</t>
  </si>
  <si>
    <t>A6229</t>
  </si>
  <si>
    <t>A6229_INNER JAR</t>
  </si>
  <si>
    <t>SI1590</t>
  </si>
  <si>
    <t>M241205_02</t>
  </si>
  <si>
    <t>A6205</t>
  </si>
  <si>
    <t>A6205_CAP</t>
  </si>
  <si>
    <t>SI1591</t>
  </si>
  <si>
    <t>M201156_02,M201161_03</t>
  </si>
  <si>
    <t>A6205_INNER JAR</t>
  </si>
  <si>
    <t>SI1592</t>
  </si>
  <si>
    <t>M201158_02</t>
  </si>
  <si>
    <t>라네즈 워터슬리핑마스크 70ML (20AD 외용기</t>
  </si>
  <si>
    <t>A6205_OUTER JAR</t>
  </si>
  <si>
    <t>SI1596</t>
  </si>
  <si>
    <t>M201159_02,M201160_03</t>
  </si>
  <si>
    <t>SI1577</t>
  </si>
  <si>
    <t>M201150</t>
  </si>
  <si>
    <t>설화수 탄력영양크림 EX 견5ML (25AD) 용기 사출</t>
  </si>
  <si>
    <t>SI1578</t>
  </si>
  <si>
    <t>M201153</t>
  </si>
  <si>
    <t>A5919 A5745</t>
  </si>
  <si>
    <t>SI1579</t>
  </si>
  <si>
    <t>A100030</t>
  </si>
  <si>
    <t>설화수 탄력영양크림 EX 75ML (25 AD, 암호 내캡 사출</t>
  </si>
  <si>
    <t>SI1580</t>
  </si>
  <si>
    <t>A6228</t>
  </si>
  <si>
    <t>A6228_CAP</t>
  </si>
  <si>
    <t>SI1581</t>
  </si>
  <si>
    <t>SI1582</t>
  </si>
  <si>
    <t>SI1583</t>
  </si>
  <si>
    <t>SI1584</t>
  </si>
  <si>
    <t>SI1585</t>
  </si>
  <si>
    <t>A5226</t>
  </si>
  <si>
    <t>SI1597</t>
  </si>
  <si>
    <t>A160222</t>
  </si>
  <si>
    <t>PP (롯데케미칼 JH570S)</t>
  </si>
  <si>
    <t>아모레 원처티캡 45파이</t>
  </si>
  <si>
    <t>SI1595</t>
  </si>
  <si>
    <t>SI1598</t>
  </si>
  <si>
    <t>SI1599</t>
  </si>
  <si>
    <t>A6849</t>
  </si>
  <si>
    <t>A6849_CAP</t>
  </si>
  <si>
    <t>SI1600</t>
  </si>
  <si>
    <t>M251058_01</t>
  </si>
  <si>
    <t>A6849_JAR</t>
  </si>
  <si>
    <t>SI1601</t>
  </si>
  <si>
    <t>M251059_01</t>
  </si>
  <si>
    <t>(EUSA)라네즈 바운시&amp;펌 슬리핑 마스크 60ml (24) 용기(선일) 내용기 사출</t>
  </si>
  <si>
    <t>SI1602</t>
  </si>
  <si>
    <t>A0030</t>
  </si>
  <si>
    <t>SI1603</t>
  </si>
  <si>
    <t>DS22163</t>
  </si>
  <si>
    <t>SI1604</t>
  </si>
  <si>
    <t>M221275</t>
  </si>
  <si>
    <t>A6855</t>
  </si>
  <si>
    <t>A6855_OUTER CAP</t>
  </si>
  <si>
    <t>SI1605</t>
  </si>
  <si>
    <t>M251109_01</t>
  </si>
  <si>
    <t>A6855_INNER CAP</t>
  </si>
  <si>
    <t>SI1606</t>
  </si>
  <si>
    <t>M251108_01</t>
  </si>
  <si>
    <t>A6153</t>
  </si>
  <si>
    <t>A6153_OUTER CAP</t>
  </si>
  <si>
    <t>SI1607</t>
  </si>
  <si>
    <t>M191515_01,M201251_02,M211125_03</t>
  </si>
  <si>
    <t>라네즈 옴므블루에너지에센스인로션EX(견 50ML(25)</t>
  </si>
  <si>
    <t>A6153_INNER CAP</t>
  </si>
  <si>
    <t>SI1608</t>
  </si>
  <si>
    <t>M191514_01,M201250_02,M211124_03</t>
  </si>
  <si>
    <t>홀리추얼 울트라 너리싱 어드밴스드 토너 150ML 외캡 코팅</t>
  </si>
  <si>
    <t>A6866</t>
  </si>
  <si>
    <t>A6866_OUTER CAP</t>
  </si>
  <si>
    <t>M251165_01</t>
  </si>
  <si>
    <t>홀리추얼 울트라 너리싱 어드밴스드 토너 150ML 외캡</t>
  </si>
  <si>
    <t>SI1609</t>
  </si>
  <si>
    <t>홀리추얼 울트라 너리싱 어드밴스드 토너 150ML 캡장식 증착</t>
  </si>
  <si>
    <t>A6866_CAP DECO</t>
  </si>
  <si>
    <t>SV0310</t>
  </si>
  <si>
    <t>M251167_01</t>
  </si>
  <si>
    <t>홀리추얼 울트라 너리싱 어드밴스드 토너 150ML 중캡</t>
  </si>
  <si>
    <t>SI1610</t>
  </si>
  <si>
    <t>A6866_INNER CAP</t>
  </si>
  <si>
    <t>SI1611</t>
  </si>
  <si>
    <t>M251166_01</t>
  </si>
  <si>
    <t>설화수 진설명작크림 60ML (26AD 외캡</t>
  </si>
  <si>
    <t>A6867</t>
  </si>
  <si>
    <t>A6867_OUTER CAP</t>
  </si>
  <si>
    <t>X</t>
  </si>
  <si>
    <t>M251219_01</t>
  </si>
  <si>
    <t>알루미늄(AL) (프리몰드 프리몰드)</t>
  </si>
  <si>
    <t>로이텍</t>
  </si>
  <si>
    <t>A6867_INNER CAP</t>
  </si>
  <si>
    <t>SI1614</t>
  </si>
  <si>
    <t>M251184_01</t>
  </si>
  <si>
    <t>PP (대한유화 4017) (30%)
PP (다원소재 DW-2360) (70%)</t>
  </si>
  <si>
    <t>설화수 진설명작크림 60ML (26AD 가스켓</t>
  </si>
  <si>
    <t>x</t>
  </si>
  <si>
    <t>⌀74.4, T=1.5</t>
  </si>
  <si>
    <t>A6867_CAP DECO</t>
  </si>
  <si>
    <t>SI1615</t>
  </si>
  <si>
    <t>M251185_01</t>
  </si>
  <si>
    <t>A6867_DISC</t>
  </si>
  <si>
    <t>SI1616</t>
  </si>
  <si>
    <t>M251186_01</t>
  </si>
  <si>
    <t>설화수 진설명작크림 60ML (26AD 중용기 증착</t>
  </si>
  <si>
    <t>A6867_MID JAR</t>
  </si>
  <si>
    <t>M251188_01</t>
  </si>
  <si>
    <t>골드증착</t>
  </si>
  <si>
    <t>SI1617</t>
  </si>
  <si>
    <t>A6867_INNER JAR</t>
  </si>
  <si>
    <t>SI1618</t>
  </si>
  <si>
    <t>M251187_01</t>
  </si>
  <si>
    <t>A6867_OUTER JAR</t>
  </si>
  <si>
    <t>SI1619</t>
  </si>
  <si>
    <t>M251189_01</t>
  </si>
  <si>
    <t>설화수 진설명작크림 60ML (26AD 용기받침 증착</t>
  </si>
  <si>
    <t>A6867_JAR SUPPORT</t>
  </si>
  <si>
    <t>M251190_01</t>
  </si>
  <si>
    <t>유광골드</t>
  </si>
  <si>
    <t>SI1620</t>
  </si>
  <si>
    <t>설화수 진설명작크림 60ML (26AD 용기받침</t>
  </si>
  <si>
    <t>설화수 진설명작크림 60ML (26AD 밑라벨</t>
  </si>
  <si>
    <t>한진아트센타</t>
  </si>
  <si>
    <t>설화수 진설명작크림 60ML (26AD 시트지</t>
  </si>
  <si>
    <t>설화수 진설명작크림 60ML (26AD 가중블럭</t>
  </si>
  <si>
    <t>A6867_WEIGHT BLOCK</t>
  </si>
  <si>
    <t>M251221_01</t>
  </si>
  <si>
    <t>설화수 진설명작크림 60ML (26AD 숄더장식 증착</t>
  </si>
  <si>
    <t>A6867_SHOULDER</t>
  </si>
  <si>
    <t>M251191_01</t>
  </si>
  <si>
    <t>설화수 진설명작크림 60ML (26AD 숄더장식</t>
  </si>
  <si>
    <t>SI1621</t>
  </si>
  <si>
    <t>설화수 진설명작크림 60ML (26AD 컨덕션실링지</t>
  </si>
  <si>
    <t>설화수 진설명작크림 60ML (26AD 세라믹마사져</t>
  </si>
  <si>
    <t>A6867_MASSAGER</t>
  </si>
  <si>
    <t>M251220_01</t>
  </si>
  <si>
    <t>세라믹 ( 알루미나)</t>
  </si>
  <si>
    <t>설화수 진설명작크림 60ML (26AD 스파츌러대 증착</t>
  </si>
  <si>
    <t>A6867_SPATULA</t>
  </si>
  <si>
    <t>M251192_01</t>
  </si>
  <si>
    <t>설화수 진설명작크림 60ML (26AD 스파츌러대</t>
  </si>
  <si>
    <t>SI1622</t>
  </si>
  <si>
    <t>설화수 진설명작크림 리필 60ML (26AD 캡장식</t>
  </si>
  <si>
    <t>A6867, A6871</t>
  </si>
  <si>
    <t>A6871_CAP DECO</t>
  </si>
  <si>
    <t>SI1644</t>
  </si>
  <si>
    <t>M251218_01</t>
  </si>
  <si>
    <t>알루미늄(AL) (RESOLTECH CHOIL8050)</t>
  </si>
  <si>
    <t>골드무광헤어라인</t>
  </si>
  <si>
    <t>A6871_CAP</t>
  </si>
  <si>
    <t>SI1623</t>
  </si>
  <si>
    <t>M251217_01</t>
  </si>
  <si>
    <t>설화수 진설명작크림 리필 60ML (26AD 가스켓</t>
  </si>
  <si>
    <t>polite ⌀74.4 t=1.5</t>
  </si>
  <si>
    <t>설화수 진설명작크림 (견) 10ML (AD 외캡 인쇄</t>
  </si>
  <si>
    <t>A6868</t>
  </si>
  <si>
    <t>A6868_OUTER CAP</t>
  </si>
  <si>
    <t>M251175_01</t>
  </si>
  <si>
    <t>저항가열증착_무광골드,실크인쇄,1도</t>
  </si>
  <si>
    <t>설화수 진설명작크림 (견) 10ML (AD 외캡 증착</t>
  </si>
  <si>
    <t>SI1625</t>
  </si>
  <si>
    <t>A6868_INNER CAP</t>
  </si>
  <si>
    <t>SI1626</t>
  </si>
  <si>
    <t>M251174_01</t>
  </si>
  <si>
    <t>"PP (대한유화 4017) (30%)
PP (다원소재 DW-2360) (70%)"</t>
  </si>
  <si>
    <t>설화수 진설명작크림 (견) 10ML (AD 가스켓</t>
  </si>
  <si>
    <t>일반 polite ⌀44.5 t=1.5</t>
  </si>
  <si>
    <t>A6868_DISC</t>
  </si>
  <si>
    <t>SI1629</t>
  </si>
  <si>
    <t>M251178_01</t>
  </si>
  <si>
    <t>A6868_JAR</t>
  </si>
  <si>
    <t>SI1628</t>
  </si>
  <si>
    <t>M251177_01</t>
  </si>
  <si>
    <t>설화수 진설명작크림 (견) 10ML (AD 용기받침 증착</t>
  </si>
  <si>
    <t>A6868_JAR SUPPORT</t>
  </si>
  <si>
    <t>M251176_01</t>
  </si>
  <si>
    <t>SI1627</t>
  </si>
  <si>
    <t>설화수 진설명작크림 (견) 10ML (AD 밑라벨</t>
  </si>
  <si>
    <t>paper ⌀55.2, t=0.3</t>
  </si>
  <si>
    <t>설화수 진설명작크림 (견) 10ML (AD 컨덕션실링지</t>
  </si>
  <si>
    <t>설화수 진설명작크림 (견) 5ML (AD 외캡 인쇄</t>
  </si>
  <si>
    <t>A6869</t>
  </si>
  <si>
    <t>A6869_OUTER CAP</t>
  </si>
  <si>
    <t>M251180_01</t>
  </si>
  <si>
    <t>실크1도</t>
  </si>
  <si>
    <t>설화수 진설명작크림 (견) 5ML (AD 외캡</t>
  </si>
  <si>
    <t>설화수 진설명작크림 (견) 5ML (AD 외캡 증착</t>
  </si>
  <si>
    <t>무광골드</t>
  </si>
  <si>
    <t>SI1630</t>
  </si>
  <si>
    <t>A6869_INNER CAP</t>
  </si>
  <si>
    <t>SI1631</t>
  </si>
  <si>
    <t>M251179_01</t>
  </si>
  <si>
    <t>설화수 진설명작크림 (견) 5ML (AD 가스켓</t>
  </si>
  <si>
    <t>일반 polite ⌀34.1, t=1.5</t>
  </si>
  <si>
    <t>A6869_JAR</t>
  </si>
  <si>
    <t>SI1632</t>
  </si>
  <si>
    <t>M251181_01</t>
  </si>
  <si>
    <t>설화수 진설명작크림 (견) 5ML (AD 용기받침 증착</t>
  </si>
  <si>
    <t>A6869_JAR SUPPORT</t>
  </si>
  <si>
    <t>M251182_01</t>
  </si>
  <si>
    <t>SI1633</t>
  </si>
  <si>
    <t>설화수 진설명작크림 (견) 5ML (AD 밑라벨</t>
  </si>
  <si>
    <t>paper ⌀44, t=0.3</t>
  </si>
  <si>
    <t>A6869_DISC</t>
  </si>
  <si>
    <t>SI1634</t>
  </si>
  <si>
    <t>M251183_01</t>
  </si>
  <si>
    <t>설화수 진설명작크림 (견) 5ML (AD 컨덕션실링지</t>
  </si>
  <si>
    <t>헤라 시그니아 바이탈리프팅크림 소용량 15ml 26AD 외용기 인쇄</t>
  </si>
  <si>
    <t>A6888_OUTER JAR</t>
  </si>
  <si>
    <t>M251264_01</t>
  </si>
  <si>
    <t>1도인쇄</t>
  </si>
  <si>
    <t>헤라 시그니아 바이탈리프팅크림 소용량 15ml 26AD 외용기</t>
  </si>
  <si>
    <t>SI1637</t>
  </si>
  <si>
    <t>PMMA (LGMMA IF850)</t>
  </si>
  <si>
    <t>헤라 시그니아 바이탈리프팅크림 소용량 15ml 26AD 내용기</t>
  </si>
  <si>
    <t>A6888_INNER JAR</t>
  </si>
  <si>
    <t>SI1638</t>
  </si>
  <si>
    <t>M251263_01</t>
  </si>
  <si>
    <t>PCR PP (한화토탈에너지스 PCR RJ570E (CR PCR 100%))</t>
  </si>
  <si>
    <t>헤라 시그니아 바이탈리프팅크림 소용량 15ml 26AD 외캡 증착</t>
  </si>
  <si>
    <t>A6200_OUTER CAP</t>
  </si>
  <si>
    <t>M201037_01</t>
  </si>
  <si>
    <t>라네즈 퍼펙트리뉴 유스 크림 20ML(20AD) 외캡</t>
  </si>
  <si>
    <t>헤라 시그니아 바이탈리프팅크림 소용량 15ml 26AD 외캡</t>
  </si>
  <si>
    <t>헤라 시그니아 바이탈리프팅크림 소용량 15ml 26AD 내캡</t>
  </si>
  <si>
    <t>A6888_INNER CAP</t>
  </si>
  <si>
    <t>SI1640</t>
  </si>
  <si>
    <t>M251265_01</t>
  </si>
  <si>
    <t>POK (효성 M330T)</t>
  </si>
  <si>
    <t>헤라 시그니아 바이탈리프팅크림 소용량 15ml 26AD 가스켓</t>
  </si>
  <si>
    <t>⌀37.8 t=1.5 고발포</t>
  </si>
  <si>
    <t>헤라 시그니아 유스퍼밍 아이크림 소용량 5mL(26AD 캡</t>
  </si>
  <si>
    <t>A6887</t>
  </si>
  <si>
    <t>A6887_CAP</t>
  </si>
  <si>
    <t>SI1641</t>
  </si>
  <si>
    <t>M251266_01</t>
  </si>
  <si>
    <t>헤라 시그니아 유스퍼밍 아이크림 소용량 5mL(26AD 단캡</t>
  </si>
  <si>
    <t>헤라 시그니아 유스퍼밍 아이크림 소용량 5mL(26AD 가스켓</t>
  </si>
  <si>
    <t>헤라 시그니아 유스퍼밍 아이크림 소용량 5mL(26AD 외용기</t>
  </si>
  <si>
    <t>A6887_OUTER JAR</t>
  </si>
  <si>
    <t>SI1643</t>
  </si>
  <si>
    <t>M251268_01</t>
  </si>
  <si>
    <t>헤라 시그니아 유스퍼밍 아이크림 소용량 5mL(26AD 내용기</t>
  </si>
  <si>
    <t>A6887_INNER JAR</t>
  </si>
  <si>
    <t>SI1642</t>
  </si>
  <si>
    <t>M251267_01</t>
  </si>
  <si>
    <t>헤라 시그니아 유스퍼밍 아이크림 소용량 5mL(26AD 밑라벨3355</t>
  </si>
  <si>
    <t>포장재 개발팀</t>
  </si>
  <si>
    <t>전미영</t>
  </si>
  <si>
    <t>포커스/강정환</t>
  </si>
  <si>
    <t>주식회사 대산몰드</t>
  </si>
  <si>
    <t>홍서희</t>
  </si>
  <si>
    <t>송혜강</t>
  </si>
  <si>
    <t>(주)대동몰드(금형)</t>
  </si>
  <si>
    <t>김성룡/홍서희</t>
  </si>
  <si>
    <t>오형택</t>
  </si>
  <si>
    <t>공경식</t>
  </si>
  <si>
    <t>김지훈</t>
  </si>
  <si>
    <t>보람정밀</t>
  </si>
  <si>
    <t>아이팩</t>
  </si>
  <si>
    <t>리드개발/남호근</t>
  </si>
  <si>
    <t>장업</t>
  </si>
  <si>
    <t>윤세희</t>
  </si>
  <si>
    <t>없음</t>
  </si>
  <si>
    <t>구미에이텍</t>
  </si>
  <si>
    <t>이성현</t>
  </si>
  <si>
    <t>강성함</t>
  </si>
  <si>
    <t>손보배</t>
  </si>
  <si>
    <t>이윤희</t>
  </si>
  <si>
    <t>헤라 시그니아 아이크림 5ml - 단캡</t>
    <phoneticPr fontId="1" type="noConversion"/>
  </si>
  <si>
    <t>T1 시사출, 금형 21일 입고 예정. 입고되면 진행해주세요</t>
    <phoneticPr fontId="1" type="noConversion"/>
  </si>
  <si>
    <t>헤라 시그니아 아이크림 5ml - 외용기</t>
    <phoneticPr fontId="1" type="noConversion"/>
  </si>
  <si>
    <t>헤라 시그니아 아이크림 5ml - 내용기</t>
    <phoneticPr fontId="1" type="noConversion"/>
  </si>
  <si>
    <t>헤라 시그니아 유스퍼밍 아이크림 15ml 외캡</t>
    <phoneticPr fontId="1" type="noConversion"/>
  </si>
  <si>
    <t>헤라 시그니아 유스퍼밍 아이크림 15ml 내캡</t>
    <phoneticPr fontId="1" type="noConversion"/>
  </si>
  <si>
    <t>헤라 시그니아 유스퍼밍 아이크림 15ml 외용기</t>
    <phoneticPr fontId="1" type="noConversion"/>
  </si>
  <si>
    <t>헤라 시그니아 유스퍼밍 아이크림 15ml 내용기</t>
    <phoneticPr fontId="1" type="noConversion"/>
  </si>
  <si>
    <t>DY250714-28</t>
    <phoneticPr fontId="1" type="noConversion"/>
  </si>
  <si>
    <t>PCR PP PCR RJ570E</t>
    <phoneticPr fontId="1" type="noConversion"/>
  </si>
  <si>
    <t>DJ10813</t>
  </si>
  <si>
    <t>DJ5737</t>
  </si>
  <si>
    <t>30%, 50% 연속생산 문제없는지 점검, 연속사출 문제점 확인, 사출조건 확인, 수축률 확인, 퍼징전용 원료로 사출기 퍼징했을때 문제 점검 등
사출물 후가공 진행 예정 - 네츄럴, 전사지, 무광컬러, 무광클리어, 무광증착(골드) 각 샘플 당 %별 200ea 수량요청 - 후가공 loss감안, 방문업체 샘플 제공 등
가능 일정 회신 부탁드립니다. 수고하세요!</t>
    <phoneticPr fontId="1" type="noConversion"/>
  </si>
  <si>
    <t>DJ250704-1</t>
  </si>
  <si>
    <t>DY250714-28</t>
  </si>
  <si>
    <t>냉온수기 복합기 사용으로 품질 및 생산성 확인</t>
    <phoneticPr fontId="1" type="noConversion"/>
  </si>
  <si>
    <t>플로운마크 불량 개선(조건 조정)</t>
    <phoneticPr fontId="1" type="noConversion"/>
  </si>
  <si>
    <t>250923-7</t>
    <phoneticPr fontId="1" type="noConversion"/>
  </si>
  <si>
    <t>PCR PP PCR RJ570E</t>
  </si>
  <si>
    <t>후가공 기능 테스트</t>
    <phoneticPr fontId="1" type="noConversion"/>
  </si>
  <si>
    <t>홀리추얼 울트라 너리싱 아이크림 30ML 외캡</t>
  </si>
  <si>
    <t>홀리추얼 울트라 너리싱 아이크림 30ML 외캡 코팅</t>
  </si>
  <si>
    <t>A6898</t>
  </si>
  <si>
    <t>A6898_OUTER CAP</t>
  </si>
  <si>
    <t>SI1652</t>
  </si>
  <si>
    <t>M251317_01</t>
  </si>
  <si>
    <t>ABS 0670</t>
  </si>
  <si>
    <t>홀리추얼 울트라 너리싱 아이크림 30ML 중캡 증착</t>
  </si>
  <si>
    <t>A6898_MID CAP</t>
  </si>
  <si>
    <t>SI1653</t>
  </si>
  <si>
    <t>M251318_01</t>
  </si>
  <si>
    <t>홀리추얼 울트라 너리싱 아이크림 30ML 중캡</t>
  </si>
  <si>
    <t>홀리추얼 울트라 너리싱 아이크림 30ML 내캡</t>
  </si>
  <si>
    <t>A6898_INNER CAP</t>
  </si>
  <si>
    <t>SI1654</t>
  </si>
  <si>
    <t>M251319_01</t>
  </si>
  <si>
    <t>PP 4017</t>
  </si>
  <si>
    <t>PP4017</t>
  </si>
  <si>
    <t>DJ50329-1</t>
  </si>
  <si>
    <t>홀리추얼 울트라 너리싱 크림 80ML 외캡 사출</t>
  </si>
  <si>
    <t>SC0185</t>
  </si>
  <si>
    <t>SV0323</t>
  </si>
  <si>
    <t>헤라 시그니아 바이탈리프팅크림 소용량 15ml 26AD 용기3353</t>
  </si>
  <si>
    <t>A6888</t>
  </si>
  <si>
    <t>7572322</t>
  </si>
  <si>
    <t>조립</t>
  </si>
  <si>
    <t>SP0468</t>
  </si>
  <si>
    <t>헤라 시그니아 바이탈리프팅크림 소용량 15ml 26AD 외용기 코팅</t>
  </si>
  <si>
    <t>SC0188</t>
  </si>
  <si>
    <t>클리어코팅</t>
  </si>
  <si>
    <t>헤라 시그니아 바이탈리프팅크림 소용량 15ml 26AD 내용기 코팅</t>
  </si>
  <si>
    <t>SC0189</t>
  </si>
  <si>
    <t>메탈코팅</t>
  </si>
  <si>
    <t>헤라 시그니아 바이탈리프팅크림 소용량 15ml 26AD 캡</t>
  </si>
  <si>
    <t>7572349</t>
  </si>
  <si>
    <t>헤라 시그니아 바이탈리프팅크림 소용량 15ml 26AD 외캡 인쇄</t>
  </si>
  <si>
    <t>실크인쇄 1도</t>
  </si>
  <si>
    <t>SI1218</t>
  </si>
  <si>
    <t>C00869</t>
  </si>
  <si>
    <t>7572327</t>
  </si>
  <si>
    <t>헤라 시그니아 유스퍼밍 아이크림 소용량 5mL(26AD 캡 인쇄</t>
  </si>
  <si>
    <t>헤라 시그니아 유스퍼밍 아이크림 소용량 5mL(26AD 캡 증착</t>
  </si>
  <si>
    <t>SV0322</t>
  </si>
  <si>
    <t>C00870</t>
  </si>
  <si>
    <t>고발포 ⌀33.8 t=1.8</t>
  </si>
  <si>
    <t>헤라 시그니아 유스퍼밍 아이크림 소용량 5mL(26AD 용기3355</t>
  </si>
  <si>
    <t>7572328</t>
  </si>
  <si>
    <t>M251267_01, M251268_01</t>
  </si>
  <si>
    <t>헤라 시그니아 유스퍼밍 아이크림 소용량 5mL(26AD 외용기 인쇄</t>
  </si>
  <si>
    <t>SP0469</t>
  </si>
  <si>
    <t>헤라 시그니아 유스퍼밍 아이크림 소용량 5mL(26AD 외용기 코팅</t>
  </si>
  <si>
    <t>SC0190</t>
  </si>
  <si>
    <t>헤라 시그니아 유스퍼밍 아이크림 소용량 5mL(26AD 내용기 코팅</t>
  </si>
  <si>
    <t>SC0191</t>
  </si>
  <si>
    <t>골드 메탈 코팅</t>
  </si>
  <si>
    <t>C00871</t>
  </si>
  <si>
    <t>A6742</t>
  </si>
  <si>
    <t>A6742_OUTER CAP</t>
  </si>
  <si>
    <t>SI1655</t>
  </si>
  <si>
    <t>M241115_01</t>
  </si>
  <si>
    <t>ABS</t>
  </si>
  <si>
    <t>홀리추얼 울트라 너리싱 크림 80ML 외캡</t>
  </si>
  <si>
    <t>헤라 시그니아 유스퍼밍 아이크림 소용량 5mL(26AD 캡 조립</t>
  </si>
  <si>
    <t>25-1026-7</t>
    <phoneticPr fontId="1" type="noConversion"/>
  </si>
  <si>
    <t>4% 5%</t>
    <phoneticPr fontId="1" type="noConversion"/>
  </si>
  <si>
    <t>25-1026-8</t>
  </si>
  <si>
    <t>J560S/5321(8:2)</t>
  </si>
  <si>
    <t>J560S</t>
    <phoneticPr fontId="1" type="noConversion"/>
  </si>
  <si>
    <t>SP0471</t>
  </si>
  <si>
    <t>SP0470</t>
  </si>
  <si>
    <t>홀리추얼 울트라 너리싱 크림 80ML 외캡 박</t>
  </si>
  <si>
    <t>SF0037</t>
  </si>
  <si>
    <t>아마존)미쟝센 탭앤클리어 드라이 샴푸 쿠션 5g(25 상용기 인쇄</t>
  </si>
  <si>
    <t>A5208, A6764</t>
  </si>
  <si>
    <t>SP0474</t>
  </si>
  <si>
    <t>오렌지</t>
  </si>
  <si>
    <t>아마존)미쟝센 탭앤클리어 드라이 샴푸 쿠션 5g(25 상용기 코팅</t>
  </si>
  <si>
    <t>SC0196</t>
  </si>
  <si>
    <t>나라산업</t>
  </si>
  <si>
    <t>아마존)미쟝센 탭앤클리어 드라이 샴푸 쿠션 5g(25 상용기 사출</t>
  </si>
  <si>
    <t>SI1656</t>
  </si>
  <si>
    <t>아마존)미쟝센 탭앤클리어 드라이 샴푸 쿠션 5g(25 하용기 사출</t>
  </si>
  <si>
    <t>SI1657</t>
  </si>
  <si>
    <t>아마존)미쟝센 탭앤클리어 드라이 샴푸 쿠션 5g(25 리필상용기 사출</t>
  </si>
  <si>
    <t>SI1658</t>
  </si>
  <si>
    <t>"LDPE (한화케미칼 5321) (30%)
PP (롯데케미칼 J-560S) (70%)"</t>
  </si>
  <si>
    <t>아마존)미쟝센 탭앤클리어 드라이 샴푸 쿠션 5g(25 리필하용기 사출</t>
  </si>
  <si>
    <t>SI1659</t>
  </si>
  <si>
    <t>아마존)미쟝센 탭앤클리어 드라이 샴푸 쿠션 5g(25 리필링 사출</t>
  </si>
  <si>
    <t>SI1660</t>
  </si>
  <si>
    <t>헤라x마크공 블랙 쿠션 파운데이션 21N1 5g (MINI) 상용기 인쇄</t>
  </si>
  <si>
    <t>SP0472</t>
  </si>
  <si>
    <t>M150385_01</t>
  </si>
  <si>
    <t>헤라x마크공 블랙 쿠션 파운데이션 21N1 5g (MINI) 상용기 코팅</t>
  </si>
  <si>
    <t>SC0192</t>
  </si>
  <si>
    <t>SI1661</t>
  </si>
  <si>
    <t>헤라x마크공 블랙 쿠션 파운데이션 21N1 5g (MINI) 하용기 코팅</t>
  </si>
  <si>
    <t>SC0193</t>
  </si>
  <si>
    <t>M150386_01</t>
  </si>
  <si>
    <t>SI1662</t>
  </si>
  <si>
    <t>헤라x마크공 글로우 쿠션 파운데이션 21N1 5g (MINI) 상용기 인쇄</t>
  </si>
  <si>
    <t>SP0473</t>
  </si>
  <si>
    <t>헤라x마크공 글로우 쿠션 파운데이션 21N1 5g (MINI) 상용기 코팅</t>
  </si>
  <si>
    <t>SC0194</t>
  </si>
  <si>
    <t>SI1663</t>
  </si>
  <si>
    <t>헤라x마크공 글로우 쿠션 파운데이션 21N1 5g (MINI) 하용기 코팅</t>
  </si>
  <si>
    <t>SC0195</t>
  </si>
  <si>
    <t>SI1664</t>
  </si>
  <si>
    <t>초도 대응 완료 후 4017로 원료 바꿔서 나사내경 치수 맞게 사출(MB 확인), 샘플 참고(나사경치수)!!!</t>
    <phoneticPr fontId="1" type="noConversion"/>
  </si>
  <si>
    <t>7513834 에이피PR리트리니티 에센스 로션150ML 숄더</t>
    <phoneticPr fontId="1" type="noConversion"/>
  </si>
  <si>
    <t>신제품 증착색상 - 빠른 진행부탁드려요</t>
    <phoneticPr fontId="1" type="noConversion"/>
  </si>
  <si>
    <t>SI1380</t>
    <phoneticPr fontId="1" type="noConversion"/>
  </si>
  <si>
    <t>M221038</t>
  </si>
  <si>
    <t>헤라미니쿠션 상용기</t>
    <phoneticPr fontId="1" type="noConversion"/>
  </si>
  <si>
    <r>
      <rPr>
        <b/>
        <sz val="11"/>
        <color rgb="FFFF0000"/>
        <rFont val="맑은 고딕"/>
        <family val="3"/>
        <charset val="129"/>
        <scheme val="minor"/>
      </rPr>
      <t>(흰색 사출!!)</t>
    </r>
    <r>
      <rPr>
        <sz val="11"/>
        <color theme="1"/>
        <rFont val="맑은 고딕"/>
        <family val="2"/>
        <charset val="129"/>
        <scheme val="minor"/>
      </rPr>
      <t>신제품 개발을 위해서 디자인측 색상뿌리는 용도와 개발쪽 라인에 시험해볼게 있다고 합니다.</t>
    </r>
    <phoneticPr fontId="1" type="noConversion"/>
  </si>
  <si>
    <t>헤라미니쿠션 하용기</t>
    <phoneticPr fontId="1" type="noConversion"/>
  </si>
  <si>
    <t>(흰색 사출!!) 모두 글로우쿠션 금형으로 진행해도 무방합니다.</t>
    <phoneticPr fontId="1" type="noConversion"/>
  </si>
  <si>
    <t>헤라미니쿠션 리필상용기</t>
    <phoneticPr fontId="1" type="noConversion"/>
  </si>
  <si>
    <t xml:space="preserve">(흰색 사출!!) </t>
    <phoneticPr fontId="1" type="noConversion"/>
  </si>
  <si>
    <t>헤라미니쿠션 리필하용기</t>
    <phoneticPr fontId="1" type="noConversion"/>
  </si>
  <si>
    <t>T3 시사출 - 언더컷 하단 높이 조정</t>
    <phoneticPr fontId="1" type="noConversion"/>
  </si>
  <si>
    <t>T3 시사출 - 고광택 래핑, 치수 변경(외경 키움)</t>
    <phoneticPr fontId="1" type="noConversion"/>
  </si>
  <si>
    <t>T3 시사출 - 언더컷 외경 조정, 캡장식 조립부 외경 조정 등</t>
    <phoneticPr fontId="1" type="noConversion"/>
  </si>
  <si>
    <t>T3 시사출 - 로봇추출 안되던 것 수정, 게이트키움</t>
    <phoneticPr fontId="1" type="noConversion"/>
  </si>
  <si>
    <t>T3 시사출 - 코어변경, 추출방식 변경</t>
    <phoneticPr fontId="1" type="noConversion"/>
  </si>
  <si>
    <t>T3 시사출 - 스토퍼 생성, 언더컷 까임 개선</t>
    <phoneticPr fontId="1" type="noConversion"/>
  </si>
  <si>
    <t>T3 시사출 - 웰드라인 개선 필요</t>
    <phoneticPr fontId="1" type="noConversion"/>
  </si>
  <si>
    <t>T3 시사출 - 가중블럭 언더컷 키움</t>
    <phoneticPr fontId="1" type="noConversion"/>
  </si>
  <si>
    <t>T3 시사출 - 수정되고나면 사출 예정입니다. 아직 수정사항 없음</t>
    <phoneticPr fontId="1" type="noConversion"/>
  </si>
  <si>
    <t xml:space="preserve">T3 시사출 </t>
    <phoneticPr fontId="1" type="noConversion"/>
  </si>
  <si>
    <t>T2 시사출 - 나사 30도 연장(캡뜨임 때문 수정)</t>
    <phoneticPr fontId="1" type="noConversion"/>
  </si>
  <si>
    <t>T2 시사출 - 언더컷 조정, 스파이럴냉각으로 변경</t>
    <phoneticPr fontId="1" type="noConversion"/>
  </si>
  <si>
    <t>T2 시사출 - 언더컷 크게 조정</t>
    <phoneticPr fontId="1" type="noConversion"/>
  </si>
  <si>
    <t>T2 시사출 - 나사경 키움, 내경</t>
    <phoneticPr fontId="1" type="noConversion"/>
  </si>
  <si>
    <t>에이피 듀얼 리페어 트리트먼트 크림 50ml 외캡</t>
    <phoneticPr fontId="1" type="noConversion"/>
  </si>
  <si>
    <t>치수를 상한이되도록 사출해주세요(납품샘플 갈림으로 다시 테스트 진행)</t>
    <phoneticPr fontId="1" type="noConversion"/>
  </si>
  <si>
    <t>수량은 테스트 다시 넣겠다고 해서 30개, 베르상스 보내라는 50개, 테스트 등 소요 수량 해서 정리했습니다</t>
    <phoneticPr fontId="1" type="noConversion"/>
  </si>
  <si>
    <t>에이피 듀얼 리페어 트리트먼트 크림 50ml 내캡</t>
    <phoneticPr fontId="1" type="noConversion"/>
  </si>
  <si>
    <t>POK로도 찍어달라고 합니다. 치수를 상한이 되도록 사출해주세요</t>
    <phoneticPr fontId="1" type="noConversion"/>
  </si>
  <si>
    <t>라네즈유스콜라겐드링크 캡</t>
    <phoneticPr fontId="1" type="noConversion"/>
  </si>
  <si>
    <t>색상실험(MB입고되어 있음) 색상 타겟에 맞게 사출요청(%별 각 200개)</t>
    <phoneticPr fontId="1" type="noConversion"/>
  </si>
  <si>
    <t>아이오페 바이오유스액티브크림_50ML(23 캡2224 (1)</t>
  </si>
  <si>
    <t>김성은 디자이너 요청, 신제품 개발 목업용 필요 - 흰색으로 사출요망</t>
    <phoneticPr fontId="1" type="noConversion"/>
  </si>
  <si>
    <t>보류</t>
    <phoneticPr fontId="1" type="noConversion"/>
  </si>
  <si>
    <t>아이오페 바이오유스액티브 크림 50ML 리필 용기</t>
  </si>
  <si>
    <t>신제품 증착색상 - 1차 제출분 색상 다시맞추랍니다. 타겟보다 진하다고 합니다</t>
    <phoneticPr fontId="1" type="noConversion"/>
  </si>
  <si>
    <t>T3 시사출 - 게이트 반대편 자국 없애기 위해 상단면 구배준 것 효과 검증</t>
    <phoneticPr fontId="1" type="noConversion"/>
  </si>
  <si>
    <t>T3 시사출 - 수정사항 점검</t>
    <phoneticPr fontId="1" type="noConversion"/>
  </si>
  <si>
    <r>
      <t>7554681</t>
    </r>
    <r>
      <rPr>
        <sz val="11"/>
        <color theme="1"/>
        <rFont val="맑은 고딕"/>
        <family val="1"/>
        <scheme val="minor"/>
      </rPr>
      <t> </t>
    </r>
    <r>
      <rPr>
        <sz val="11"/>
        <color theme="1"/>
        <rFont val="맑은 고딕"/>
        <family val="3"/>
        <charset val="129"/>
        <scheme val="minor"/>
      </rPr>
      <t>홀리추얼 울트라 너리싱 크림 80ML 외캡</t>
    </r>
    <phoneticPr fontId="1" type="noConversion"/>
  </si>
  <si>
    <t>손보배님 요청사항 ABS로 사출, MB적용, 치수 및 외관 점검 후 문제없으면 테스트 진행 예정</t>
    <phoneticPr fontId="1" type="noConversion"/>
  </si>
  <si>
    <t>코팅도 해야 합니다. 점검할 수량, 테스트 제출할 수량, 표견 잡을 수량입니다. 내용 감안해서 수량 사출해주세요</t>
    <phoneticPr fontId="1" type="noConversion"/>
  </si>
  <si>
    <t>7555228  홀리추얼 울트라 너리싱 크림 80ML 스파츌러</t>
    <phoneticPr fontId="1" type="noConversion"/>
  </si>
  <si>
    <t>홀리추얼 울트라 너리싱 아이크림 30ML 외캡</t>
    <phoneticPr fontId="1" type="noConversion"/>
  </si>
  <si>
    <t>손보배님 10월 24일까지 시험용 40개, 라인테스트용 100개 사출 요청</t>
    <phoneticPr fontId="1" type="noConversion"/>
  </si>
  <si>
    <t>A6182</t>
  </si>
  <si>
    <t>M251317</t>
  </si>
  <si>
    <t>홀리추얼 울트라 너리싱 아이크림 30ML 중캡</t>
    <phoneticPr fontId="1" type="noConversion"/>
  </si>
  <si>
    <t>M251318</t>
  </si>
  <si>
    <t>사상기 샘플 제공해서 상세견적 받아야 합니다. - 견적은 빨리 진행해서 구매팀 여지윤님께 내용 전달해야 합니다.</t>
    <phoneticPr fontId="1" type="noConversion"/>
  </si>
  <si>
    <t>홀리추얼 울트라 너리싱 아이크림 30ML 내캡</t>
    <phoneticPr fontId="1" type="noConversion"/>
  </si>
  <si>
    <t>M251319</t>
  </si>
  <si>
    <t>PP (대한유화 4017)</t>
    <phoneticPr fontId="1" type="noConversion"/>
  </si>
  <si>
    <t>코팅 지그 테스트용</t>
    <phoneticPr fontId="1" type="noConversion"/>
  </si>
  <si>
    <t>14일 사출해서 바로 우창에 이동해서 우창에서 15일 코팅 진행 예정입니다</t>
    <phoneticPr fontId="1" type="noConversion"/>
  </si>
  <si>
    <t>금형 수정 후 진행</t>
    <phoneticPr fontId="1" type="noConversion"/>
  </si>
  <si>
    <t>나사 돌린 후 맞는지 확인해야 하고 이 샘플로 표견 잡아야 함</t>
    <phoneticPr fontId="1" type="noConversion"/>
  </si>
  <si>
    <t>색상실험 다시. 기존은 너무 블랙이라서 갈색톤 나도록 요청. 일정 먼저 제출해야 합니다. 일정 알려주세요</t>
    <phoneticPr fontId="1" type="noConversion"/>
  </si>
  <si>
    <t>일정 먼저 알려줘야 합니다. 일정 확인해주세요. 수량은 캡 특성 상 정해지면 많은 수량을 요청하니 %별로 200개 이상 하는게 어떨까 합니다. 힘들면 정해지면 수량 찍으면 됩니다.</t>
    <phoneticPr fontId="1" type="noConversion"/>
  </si>
  <si>
    <t>수량부족, 현재 123개, 증착해야 해서 추가 100개 요청</t>
    <phoneticPr fontId="1" type="noConversion"/>
  </si>
  <si>
    <t>증착, 사상, 조립해서 24일 까지 전달해야 해서 빠른 사출 바랍니다</t>
    <phoneticPr fontId="1" type="noConversion"/>
  </si>
  <si>
    <t>동진에서 도착한 MB로 % 2가지로 각 300개씩 사출요망</t>
    <phoneticPr fontId="1" type="noConversion"/>
  </si>
  <si>
    <t>동진에서 도착한 MB로 % 2가지로 각 200개씩 사출요망</t>
    <phoneticPr fontId="1" type="noConversion"/>
  </si>
  <si>
    <t>수량부족(필요수량은 후가공된 140개 인데 현재 사출물 140개, 코팅 loss, 지그 제작용 등20여개 소요 예상). 수량 부족으로 추가 사출 요청</t>
    <phoneticPr fontId="1" type="noConversion"/>
  </si>
  <si>
    <t>오딧세이 로맨틱 구형 외캡</t>
    <phoneticPr fontId="1" type="noConversion"/>
  </si>
  <si>
    <t>디자이너 색상 테스트 용, 투명으로 사출 (22일 수요일 제출해야 함)</t>
    <phoneticPr fontId="1" type="noConversion"/>
  </si>
  <si>
    <t>오딧세이 로맨틱 구형 중캡</t>
    <phoneticPr fontId="1" type="noConversion"/>
  </si>
  <si>
    <t>디자이너 색상 테스트 용, 흰색으로 사출 (22일 수요일 제출해야 함)</t>
    <phoneticPr fontId="1" type="noConversion"/>
  </si>
  <si>
    <t>오딧세이 로맨틱 구형 내캡</t>
    <phoneticPr fontId="1" type="noConversion"/>
  </si>
  <si>
    <t>명작수 콜라겐 캡(라네즈유스콜라겐드링크 캡)</t>
    <phoneticPr fontId="1" type="noConversion"/>
  </si>
  <si>
    <t>3%로 색상 컨펌, 금주 중 제출하라고 함</t>
    <phoneticPr fontId="1" type="noConversion"/>
  </si>
  <si>
    <t>금형 수정 후 진행, 라인테스트 샘플 제출</t>
    <phoneticPr fontId="1" type="noConversion"/>
  </si>
  <si>
    <t>라인테스트 샘플 제출</t>
  </si>
  <si>
    <t>PETG로 사출해야 함!! 가운데 수축 잡아주세요, 사출 수 유광골드 증착해서 제출해야 합니다. PETG로 사출해서 문제없으면 그대로 진행되겠지만 문제 생기면 ABS로 변경할 것이고 금형도 수정해야 합니다(ABS는 무게중심 않맞음)</t>
    <phoneticPr fontId="1" type="noConversion"/>
  </si>
  <si>
    <t>J560S로 사출해줄 것, 4M 변경 가능, 외캡 중캡 조립 시 용이하게 키잡이 연장 수정 진행</t>
    <phoneticPr fontId="1" type="noConversion"/>
  </si>
  <si>
    <t>라인테스트용 샘플 추가 요청 150ea 후가공 필요 없음</t>
    <phoneticPr fontId="1" type="noConversion"/>
  </si>
  <si>
    <t>라인테스트용 샘플 추가 요청 150ea 후가공 필요 없음</t>
  </si>
  <si>
    <t>A4334</t>
  </si>
  <si>
    <t>SI1665</t>
  </si>
  <si>
    <t>오딧세이 스킨 리파이너 스킨/로션130ml 외캡1차</t>
  </si>
  <si>
    <t>김관섭</t>
  </si>
  <si>
    <t>옥주정밀</t>
  </si>
  <si>
    <t>SI1666</t>
  </si>
  <si>
    <t>오딧세이 스킨 리파이너 스킨/로션130ml 중캡</t>
  </si>
  <si>
    <t>SI1667</t>
  </si>
  <si>
    <t>M110374_01</t>
  </si>
  <si>
    <t>오딧세이 스킨 리파이너 스킨/로션130ml 내캡</t>
  </si>
  <si>
    <t>DW ABS</t>
    <phoneticPr fontId="1" type="noConversion"/>
  </si>
  <si>
    <t>DJ7103</t>
    <phoneticPr fontId="1" type="noConversion"/>
  </si>
  <si>
    <t>PETG (SK케미칼 PN200)</t>
    <phoneticPr fontId="1" type="noConversion"/>
  </si>
  <si>
    <t>KS4113</t>
    <phoneticPr fontId="1" type="noConversion"/>
  </si>
  <si>
    <t>DJ251110-07</t>
    <phoneticPr fontId="1" type="noConversion"/>
  </si>
  <si>
    <t>DJ251110-06</t>
    <phoneticPr fontId="1" type="noConversion"/>
  </si>
  <si>
    <t>블랙쿠션 리필 상용기</t>
    <phoneticPr fontId="1" type="noConversion"/>
  </si>
  <si>
    <t>기능테스트용으로 감량에 문제없게 사출 시 치수측정 및 바로 조립해주세요</t>
    <phoneticPr fontId="1" type="noConversion"/>
  </si>
  <si>
    <t>블랙쿠션 리필 하용기</t>
    <phoneticPr fontId="1" type="noConversion"/>
  </si>
  <si>
    <t>글로우쿠션 링</t>
    <phoneticPr fontId="1" type="noConversion"/>
  </si>
  <si>
    <t>기존 색상으로 사출(이성현님 제품용)</t>
    <phoneticPr fontId="1" type="noConversion"/>
  </si>
  <si>
    <t>색상 타겟 확인할 것</t>
    <phoneticPr fontId="1" type="noConversion"/>
  </si>
  <si>
    <t>색상 타겟 확인할 것(블랙)</t>
    <phoneticPr fontId="1" type="noConversion"/>
  </si>
  <si>
    <t>로이텍 사상 지그, 우창 증착, 표견 및 기타 샘플 제출 필요</t>
    <phoneticPr fontId="1" type="noConversion"/>
  </si>
  <si>
    <t>사출되면 로이텍에 보내서 지그 제작 및 사상 일정 확인해야 하고 사상 후 바로 우창에 보내야 합니다. 처음이나 품질 확인 반드시 하고 표견 만들어야 합니다.</t>
    <phoneticPr fontId="1" type="noConversion"/>
  </si>
  <si>
    <t>수정 확인, 표견용, 완료회의 자료 참고할 것</t>
    <phoneticPr fontId="1" type="noConversion"/>
  </si>
  <si>
    <t>마몽드 클랜징 밤 100ML 스파출러</t>
    <phoneticPr fontId="1" type="noConversion"/>
  </si>
  <si>
    <t>색상 MB 적용해서 사출해주세요, 사상샘플포함 수량산정</t>
    <phoneticPr fontId="1" type="noConversion"/>
  </si>
  <si>
    <t>마몽드 클랜징 밤 100ML 원터치캡</t>
    <phoneticPr fontId="1" type="noConversion"/>
  </si>
  <si>
    <t>색상 MB 적용해서 사출해주세요. 치수 문제 없으면 모두 100개씩 사출</t>
    <phoneticPr fontId="1" type="noConversion"/>
  </si>
  <si>
    <t>마몽드 클랜징 밤 100ML 환판</t>
    <phoneticPr fontId="1" type="noConversion"/>
  </si>
  <si>
    <t>마몽드 클랜징 밤 100ML 용기</t>
    <phoneticPr fontId="1" type="noConversion"/>
  </si>
  <si>
    <t>색상 MB 적용해서 사출해주세요,. 치수 문제 없으면 모두 100개씩 사출</t>
    <phoneticPr fontId="1" type="noConversion"/>
  </si>
  <si>
    <t>밑라벨 가이드 확인, 사출되면 후가공해서 확인해야 합니다. 기능 제출해야 합니다</t>
    <phoneticPr fontId="1" type="noConversion"/>
  </si>
  <si>
    <t>리브 신규제작 확인</t>
    <phoneticPr fontId="1" type="noConversion"/>
  </si>
  <si>
    <t>신규MB색상으로 진행 바랍니다.</t>
    <phoneticPr fontId="1" type="noConversion"/>
  </si>
  <si>
    <t>DJ250923-6</t>
  </si>
  <si>
    <t>DJ250923-6</t>
    <phoneticPr fontId="1" type="noConversion"/>
  </si>
  <si>
    <t>이종운</t>
    <phoneticPr fontId="1" type="noConversion"/>
  </si>
  <si>
    <t>마몽드 어메이징딥 민트클렌징밤 90ml(26AD 스파출러대 사출</t>
    <phoneticPr fontId="1" type="noConversion"/>
  </si>
  <si>
    <t>SC0197</t>
  </si>
  <si>
    <t>SV0324</t>
  </si>
  <si>
    <t>오딧세이 로맨틱더클래식 스킨리파이너130ML(26EC(착인 외캡</t>
  </si>
  <si>
    <t>M201244_03, M201245_04, M110373_02, M110372_01</t>
  </si>
  <si>
    <t>반투명레드</t>
  </si>
  <si>
    <t>오딧세이 로맨틱더클래식 스킨리파이너130ML(26EC(착인 중캡</t>
  </si>
  <si>
    <t>M201246_02, M110375_01</t>
  </si>
  <si>
    <t>블랙</t>
  </si>
  <si>
    <t>오딧세이 로맨틱더클래식 스킨리파이너130ML(26EC(착인 내캡</t>
  </si>
  <si>
    <t>마몽드 어메이징딥 민트클렌징밤 90ml(26AD 원터치단캡 사출</t>
  </si>
  <si>
    <t>A6918</t>
  </si>
  <si>
    <t>A6918_FLIPTOP CAP</t>
  </si>
  <si>
    <t>SI1668</t>
  </si>
  <si>
    <t>M251356_01</t>
  </si>
  <si>
    <t>마몽드 어메이징딥 민트클렌징밤 90ml(26AD 스파출러대 사출</t>
  </si>
  <si>
    <t>A6918_SPATULA</t>
  </si>
  <si>
    <t>SI1669</t>
  </si>
  <si>
    <t>M251357_01</t>
  </si>
  <si>
    <t>PCR PP (롯데케미칼 J-560S-RC)</t>
  </si>
  <si>
    <t>(주) 보람정밀</t>
  </si>
  <si>
    <t>마몽드 어메이징딥 민트클렌징밤 90ml(26AD 사출덮개 사출</t>
  </si>
  <si>
    <t>A6918_DISC</t>
  </si>
  <si>
    <t>SI1670</t>
  </si>
  <si>
    <t>M251358_01</t>
  </si>
  <si>
    <t>마몽드 어메이징딥 민트클렌징밤 90ml(26AD 단용기 사출</t>
  </si>
  <si>
    <t>A6918_BOTTLE</t>
  </si>
  <si>
    <t>SI1671</t>
  </si>
  <si>
    <t>M251359_01</t>
  </si>
  <si>
    <t>KS360-1</t>
    <phoneticPr fontId="1" type="noConversion"/>
  </si>
  <si>
    <t>DJ251117-1</t>
  </si>
  <si>
    <t>DJ251117-2</t>
    <phoneticPr fontId="1" type="noConversion"/>
  </si>
  <si>
    <t>DG(X-435,X-436)</t>
    <phoneticPr fontId="1" type="noConversion"/>
  </si>
  <si>
    <t>JL210</t>
    <phoneticPr fontId="1" type="noConversion"/>
  </si>
  <si>
    <t>360-1</t>
    <phoneticPr fontId="1" type="noConversion"/>
  </si>
  <si>
    <t>J-560,다원원료</t>
    <phoneticPr fontId="1" type="noConversion"/>
  </si>
  <si>
    <t>A6937</t>
  </si>
  <si>
    <t>SI1672</t>
  </si>
  <si>
    <t>A6944</t>
  </si>
  <si>
    <t>A6944_MASSAGER HANDLE</t>
  </si>
  <si>
    <t>PETG (SK케미칼 PN200N2)</t>
  </si>
  <si>
    <t>DG251216(X-460)</t>
  </si>
  <si>
    <t>3,4</t>
    <phoneticPr fontId="1" type="noConversion"/>
  </si>
  <si>
    <t>PCTA</t>
    <phoneticPr fontId="1" type="noConversion"/>
  </si>
  <si>
    <t>DJ713</t>
    <phoneticPr fontId="1" type="noConversion"/>
  </si>
  <si>
    <t>Tf</t>
  </si>
  <si>
    <t>생산회의</t>
  </si>
  <si>
    <t>포장월</t>
  </si>
  <si>
    <t>해피바스 달잠 밀키라벤더 바디로션500g+괄사단품기획(OY 마사져대 사출</t>
  </si>
  <si>
    <t>M241293_01</t>
  </si>
  <si>
    <t>최재용</t>
  </si>
  <si>
    <t>아이오페 콜라겐 부스터 크림 50ml(26AD 용기 내용기 사출</t>
  </si>
  <si>
    <t>A6592</t>
  </si>
  <si>
    <t>A6592_INNER JAR</t>
  </si>
  <si>
    <t>M231119_01</t>
  </si>
  <si>
    <t>아이오페 콜라겐 부스터 크림 50ml(26AD 캡 외캡 인쇄</t>
  </si>
  <si>
    <t>A6592_OUTER CAP</t>
  </si>
  <si>
    <t>SP0476</t>
  </si>
  <si>
    <t>M231121_01</t>
  </si>
  <si>
    <t>아이오페 콜라겐 부스터 크림 50ml(26AD 캡 외캡 코팅</t>
  </si>
  <si>
    <t>SC0198</t>
  </si>
  <si>
    <t>아이오페 콜라겐 부스터 크림 50ml(26AD 캡 외캡 사출</t>
  </si>
  <si>
    <t>PCR ABS (LG화학 MRC380L5(50%))</t>
  </si>
  <si>
    <t>아이오페 콜라겐 부스터 크림 50ml(26AD 캡 내캡 사출</t>
  </si>
  <si>
    <t>A6592_INNER CAP</t>
  </si>
  <si>
    <t>M231122_01</t>
  </si>
  <si>
    <t>미니슬림쿠션 상케이스 사출</t>
  </si>
  <si>
    <t>권현준</t>
  </si>
  <si>
    <t>지앤디/김영섭</t>
  </si>
  <si>
    <t>미니슬림쿠션 하케이스 사출</t>
  </si>
  <si>
    <t>SI1673</t>
  </si>
  <si>
    <t>미니슬림쿠션 접시 사출</t>
  </si>
  <si>
    <t>SI1674</t>
  </si>
  <si>
    <t>미니슬림쿠션 중용기 사출</t>
  </si>
  <si>
    <t>SI1675</t>
  </si>
  <si>
    <t>PP+PE</t>
  </si>
  <si>
    <t>미니슬림쿠션 중용기 덮개 사출</t>
  </si>
  <si>
    <t>SI1676</t>
  </si>
  <si>
    <t>LAKA_LIPTINT 외용기</t>
  </si>
  <si>
    <t>JU21-1229</t>
  </si>
  <si>
    <t>KS25-1217-5</t>
    <phoneticPr fontId="1" type="noConversion"/>
  </si>
  <si>
    <t>KS25-1213-15</t>
    <phoneticPr fontId="1" type="noConversion"/>
  </si>
  <si>
    <t>DG251230X-460A)</t>
    <phoneticPr fontId="1" type="noConversion"/>
  </si>
  <si>
    <t>`</t>
    <phoneticPr fontId="1" type="noConversion"/>
  </si>
  <si>
    <t>251209-06</t>
    <phoneticPr fontId="1" type="noConversion"/>
  </si>
  <si>
    <t>비고</t>
    <phoneticPr fontId="1" type="noConversion"/>
  </si>
  <si>
    <t>인쇄 재고 부족</t>
    <phoneticPr fontId="1" type="noConversion"/>
  </si>
  <si>
    <t>T1 규격 확인(압력 설정 확인)</t>
    <phoneticPr fontId="1" type="noConversion"/>
  </si>
  <si>
    <t>DJ250923-7</t>
    <phoneticPr fontId="1" type="noConversion"/>
  </si>
  <si>
    <t>J-560:5321(8:2)</t>
    <phoneticPr fontId="1" type="noConversion"/>
  </si>
  <si>
    <t>권순우</t>
  </si>
  <si>
    <t>J-560:5321(8:2),J-560</t>
    <phoneticPr fontId="1" type="noConversion"/>
  </si>
  <si>
    <t>S251017_01</t>
  </si>
  <si>
    <t>4017/PBT</t>
    <phoneticPr fontId="1" type="noConversion"/>
  </si>
  <si>
    <t>DW2360/POK</t>
    <phoneticPr fontId="1" type="noConversion"/>
  </si>
  <si>
    <t>2/12 언더컷 규격 조정 요청 기준 52.4 요청 52.3</t>
  </si>
  <si>
    <t>오딧세이 블랙 로션 130ML (26 EC)(착인) 외캡 사출</t>
  </si>
  <si>
    <t>A4334_OUTER CAP</t>
  </si>
  <si>
    <t>PCTA (이스트만 AN004)</t>
  </si>
  <si>
    <t>오딧세이 블랙 로션 130ML (26 EC)(착인) 외캡</t>
  </si>
  <si>
    <t>오딧세이 블랙 로션 130ML (26 EC)(착인) 중캡 사출</t>
  </si>
  <si>
    <t>A4334_MID CAP</t>
  </si>
  <si>
    <t>오딧세이 블랙 로션 130ML (26 EC)(착인) 중캡</t>
  </si>
  <si>
    <t>오딧세이 블랙 로션 130ML (26 EC)(착인) 내캡 사출</t>
  </si>
  <si>
    <t>A4334_INNER CAP</t>
  </si>
  <si>
    <t>오딧세이 블랙 로션 130ML (26 EC)(착인) 내캡</t>
  </si>
  <si>
    <t>설화수 진설클렌징폼 견본 40g (25AD 내캡 박</t>
  </si>
  <si>
    <t>설화수 진설클렌징폼 견본 40g (25AD 내캡 사출</t>
  </si>
  <si>
    <t>설화수 진설클렌징폼 견본 40g (25AD 외캡 코팅</t>
  </si>
  <si>
    <t>설화수 진설클렌징폼 견본 40g (25AD 외캡 사출</t>
  </si>
  <si>
    <t>설화수 진설클렌징폼 견본 15g (25AD 외캡 사출</t>
  </si>
  <si>
    <t>설화수 진설클렌징폼 견본 15g (25AD 내캡 사출</t>
  </si>
  <si>
    <t>설화수 진설클렌징폼 150g(25AD 캡장식 증착</t>
  </si>
  <si>
    <t>설화수 진설클렌징폼 150g(25AD 캡장식 사출</t>
  </si>
  <si>
    <t>설화수 진설클렌징폼 150g (25AD 외캡 코팅</t>
  </si>
  <si>
    <t>설화수 진설클렌징폼 150g (25AD 외캡 사출</t>
  </si>
  <si>
    <t>설화수 진설클렌징폼 150g (25AD 내캡 사출</t>
  </si>
  <si>
    <t>(EUSA)라네즈 바운시&amp;펌 슬리핑 마스크 60ml (24) 단캡</t>
  </si>
  <si>
    <t>라네즈 바운시&amp;펌 슬리핑 마스크 60ml (24) 내용기</t>
  </si>
  <si>
    <t>라네즈 바운시&amp;펌 슬리핑 마스크 60ml (25AD 외용기</t>
  </si>
  <si>
    <t>AS (LG화학 82TR)</t>
  </si>
  <si>
    <t>아이오페 히아루로닉에멀젼(견 15ml(26) 단캡</t>
  </si>
  <si>
    <t>A3553</t>
  </si>
  <si>
    <t>M170037_02</t>
  </si>
  <si>
    <t>스킨유 이노센트 리프레시민트 바디오일 130ml+괄사단품세트(OY 마사져</t>
  </si>
  <si>
    <t>설화수 진설크림 60ml (25.커브형스파출러 (단품용)</t>
  </si>
  <si>
    <t>설화수 진설크림 60ml (25.커브형스파출러 스파출러 헤드</t>
  </si>
  <si>
    <t>EVA ( 2315)</t>
  </si>
  <si>
    <t>설화수 진설 아이크림 20ml (23) 암호 스파출러대</t>
  </si>
  <si>
    <t>홀리추얼 엘리멘탈 스무딩 에센스&amp;로션(견) 15ML 단캡</t>
  </si>
  <si>
    <t>KIMCHI KEEPER 2C HANDLE 사출</t>
  </si>
  <si>
    <t>SI1677</t>
  </si>
  <si>
    <t>설화수 진설명작크림 60ML (27 AD)_암호 상케이스 코팅</t>
  </si>
  <si>
    <t>A6867_MID CASE</t>
  </si>
  <si>
    <t>M261008_01</t>
  </si>
  <si>
    <t>설화수 진설명작크림 60ML (27 AD)_암호 중케이스</t>
  </si>
  <si>
    <t>설화수 진설명작크림 60ML (27 AD)_암호 상케이스 사출</t>
  </si>
  <si>
    <t>SI1678</t>
  </si>
  <si>
    <t>설화수 진설명작크림 60ML (27 AD)_암호 하케이스 증착</t>
  </si>
  <si>
    <t>A6867_LOWER CASE</t>
  </si>
  <si>
    <t>M261009_01</t>
  </si>
  <si>
    <t>설화수 진설명작크림 60ML (27 AD)_암호 하케이스</t>
  </si>
  <si>
    <t>설화수 진설명작크림 60ML (27 AD)_암호 하케이스 사출</t>
  </si>
  <si>
    <t>SI1679</t>
  </si>
  <si>
    <t>설화수 진설명작크림 60ML (27 AD)_암호 밑라벨</t>
  </si>
  <si>
    <t>DJ260123-32</t>
    <phoneticPr fontId="1" type="noConversion"/>
  </si>
  <si>
    <t>DJ318</t>
  </si>
  <si>
    <t>바닦면 수정 확인</t>
    <phoneticPr fontId="1" type="noConversion"/>
  </si>
  <si>
    <t>색상 확인</t>
    <phoneticPr fontId="1" type="noConversion"/>
  </si>
  <si>
    <t>삼성케미칼 MB 테스트</t>
    <phoneticPr fontId="1" type="noConversion"/>
  </si>
  <si>
    <t>규격 확인 (내용기와 조립 확인)</t>
    <phoneticPr fontId="1" type="noConversion"/>
  </si>
  <si>
    <t>후가공 테스트(수량 부족)</t>
    <phoneticPr fontId="1" type="noConversion"/>
  </si>
  <si>
    <t>갈림 테스트</t>
    <phoneticPr fontId="1" type="noConversion"/>
  </si>
  <si>
    <t>SK26-0302-01</t>
    <phoneticPr fontId="1" type="noConversion"/>
  </si>
  <si>
    <t>SS26-0311-06,07</t>
    <phoneticPr fontId="1" type="noConversion"/>
  </si>
  <si>
    <t>SS26-0311-07</t>
    <phoneticPr fontId="1" type="noConversion"/>
  </si>
  <si>
    <t>JL210</t>
  </si>
  <si>
    <t>360-1</t>
  </si>
  <si>
    <t>S251018_01</t>
    <phoneticPr fontId="1" type="noConversion"/>
  </si>
  <si>
    <t>S251019_01</t>
    <phoneticPr fontId="1" type="noConversion"/>
  </si>
  <si>
    <t>DJ50434</t>
    <phoneticPr fontId="1" type="noConversion"/>
  </si>
  <si>
    <t>DJ50431</t>
    <phoneticPr fontId="1" type="noConversion"/>
  </si>
  <si>
    <t>DJ50431</t>
  </si>
  <si>
    <t>DJ260616-24</t>
    <phoneticPr fontId="1" type="noConversion"/>
  </si>
  <si>
    <t>DJ50433</t>
  </si>
  <si>
    <t>3%, 4%</t>
    <phoneticPr fontId="1" type="noConversion"/>
  </si>
  <si>
    <t>SI1619_20260625</t>
  </si>
  <si>
    <t>색상실험 DJ260616-24 3%, 4%</t>
    <phoneticPr fontId="1" type="noConversion"/>
  </si>
  <si>
    <t>DJ260616-21</t>
    <phoneticPr fontId="1" type="noConversion"/>
  </si>
  <si>
    <t>SI1616_20260225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</si>
</sst>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1" formatCode="_-* #,##0_-;\-* #,##0_-;_-* &quot;-&quot;_-;_-@_-"/>
    <numFmt numFmtId="43" formatCode="_-* #,##0.00_-;\-* #,##0.00_-;_-* &quot;-&quot;??_-;_-@_-"/>
    <numFmt numFmtId="176" formatCode="mm&quot;월&quot;\ dd&quot;일&quot;"/>
    <numFmt numFmtId="177" formatCode="0.0"/>
    <numFmt numFmtId="178" formatCode="0.0%"/>
    <numFmt numFmtId="179" formatCode="General&quot;호기&quot;;General&quot;호기&quot;;&quot;&quot;"/>
    <numFmt numFmtId="180" formatCode="_-* #,##0.0_-;\-* #,##0.0_-;_-* &quot;-&quot;_-;_-@_-"/>
    <numFmt numFmtId="181" formatCode="_-* #,##0.00_-;\-* #,##0.00_-;_-* &quot;-&quot;_-;_-@_-"/>
    <numFmt numFmtId="182" formatCode="&quot;A(&quot;General&quot;)&quot;"/>
    <numFmt numFmtId="183" formatCode="&quot;B(&quot;General&quot;)&quot;"/>
    <numFmt numFmtId="184" formatCode="&quot;C(&quot;General&quot;)&quot;"/>
    <numFmt numFmtId="185" formatCode="General&quot;번&quot;"/>
    <numFmt numFmtId="186" formatCode="##&quot;%&quot;"/>
  </numFmts>
  <fonts count="47">
    <font>
      <sz val="11"/>
      <color theme="1"/>
      <name val="맑은 고딕"/>
      <family val="2"/>
      <charset val="129"/>
      <scheme val="minor"/>
    </font>
    <font>
      <sz val="8"/>
      <name val="맑은 고딕"/>
      <family val="2"/>
      <charset val="129"/>
      <scheme val="minor"/>
    </font>
    <font>
      <b/>
      <sz val="11"/>
      <name val="맑은 고딕"/>
      <family val="3"/>
      <charset val="129"/>
      <scheme val="minor"/>
    </font>
    <font>
      <sz val="11"/>
      <color theme="0"/>
      <name val="맑은 고딕"/>
      <family val="2"/>
      <charset val="129"/>
      <scheme val="minor"/>
    </font>
    <font>
      <sz val="10"/>
      <color theme="1"/>
      <name val="맑은 고딕"/>
      <family val="2"/>
      <charset val="129"/>
      <scheme val="minor"/>
    </font>
    <font>
      <b/>
      <sz val="11"/>
      <color theme="1"/>
      <name val="맑은 고딕"/>
      <family val="3"/>
      <charset val="129"/>
      <scheme val="minor"/>
    </font>
    <font>
      <sz val="11"/>
      <color theme="1"/>
      <name val="맑은 고딕"/>
      <family val="2"/>
      <charset val="129"/>
      <scheme val="minor"/>
    </font>
    <font>
      <sz val="9"/>
      <color theme="1"/>
      <name val="맑은 고딕"/>
      <family val="2"/>
      <charset val="129"/>
      <scheme val="minor"/>
    </font>
    <font>
      <sz val="11"/>
      <color theme="1" tint="0.499984740745262"/>
      <name val="맑은 고딕"/>
      <family val="2"/>
      <charset val="129"/>
      <scheme val="minor"/>
    </font>
    <font>
      <sz val="11"/>
      <color theme="1" tint="0.499984740745262"/>
      <name val="맑은 고딕"/>
      <family val="3"/>
      <charset val="129"/>
      <scheme val="minor"/>
    </font>
    <font>
      <b/>
      <sz val="20"/>
      <color theme="1"/>
      <name val="맑은 고딕"/>
      <family val="3"/>
      <charset val="129"/>
      <scheme val="minor"/>
    </font>
    <font>
      <sz val="11"/>
      <name val="돋움"/>
      <family val="3"/>
      <charset val="129"/>
    </font>
    <font>
      <b/>
      <sz val="15"/>
      <name val="맑은 고딕"/>
      <family val="3"/>
      <charset val="129"/>
      <scheme val="minor"/>
    </font>
    <font>
      <sz val="8"/>
      <name val="맑은 고딕"/>
      <family val="3"/>
      <charset val="129"/>
    </font>
    <font>
      <sz val="12"/>
      <name val="宋体"/>
      <family val="3"/>
      <charset val="129"/>
    </font>
    <font>
      <sz val="11"/>
      <color rgb="FF000000"/>
      <name val="돋움"/>
      <family val="3"/>
      <charset val="129"/>
    </font>
    <font>
      <b/>
      <sz val="11"/>
      <color rgb="FF000000"/>
      <name val="맑은 고딕"/>
      <family val="3"/>
      <charset val="129"/>
    </font>
    <font>
      <b/>
      <sz val="15"/>
      <color theme="1"/>
      <name val="맑은 고딕"/>
      <family val="3"/>
      <charset val="129"/>
      <scheme val="minor"/>
    </font>
    <font>
      <sz val="11"/>
      <color theme="1"/>
      <name val="맑은 고딕"/>
      <family val="3"/>
      <charset val="129"/>
      <scheme val="minor"/>
    </font>
    <font>
      <b/>
      <sz val="12"/>
      <color theme="0"/>
      <name val="맑은 고딕"/>
      <family val="3"/>
      <charset val="129"/>
      <scheme val="minor"/>
    </font>
    <font>
      <b/>
      <sz val="9"/>
      <name val="맑은 고딕"/>
      <family val="3"/>
      <charset val="129"/>
      <scheme val="minor"/>
    </font>
    <font>
      <sz val="11"/>
      <color rgb="FF000000"/>
      <name val="맑은 고딕"/>
      <family val="3"/>
      <charset val="129"/>
    </font>
    <font>
      <sz val="11"/>
      <name val="맑은 고딕"/>
      <family val="3"/>
      <charset val="129"/>
      <scheme val="minor"/>
    </font>
    <font>
      <sz val="11"/>
      <color theme="1"/>
      <name val="맑은 고딕"/>
      <family val="3"/>
      <charset val="129"/>
    </font>
    <font>
      <b/>
      <sz val="9"/>
      <color rgb="FF000000"/>
      <name val="맑은 고딕"/>
      <family val="3"/>
      <charset val="129"/>
    </font>
    <font>
      <sz val="11"/>
      <name val="맑은 고딕"/>
      <family val="3"/>
      <charset val="129"/>
    </font>
    <font>
      <b/>
      <sz val="9"/>
      <color theme="1"/>
      <name val="맑은 고딕"/>
      <family val="3"/>
      <charset val="129"/>
      <scheme val="minor"/>
    </font>
    <font>
      <sz val="14"/>
      <name val="맑은 고딕"/>
      <family val="3"/>
      <charset val="129"/>
      <scheme val="minor"/>
    </font>
    <font>
      <b/>
      <sz val="14"/>
      <name val="맑은 고딕"/>
      <family val="3"/>
      <charset val="129"/>
      <scheme val="minor"/>
    </font>
    <font>
      <sz val="10"/>
      <color theme="1"/>
      <name val="맑은 고딕"/>
      <family val="3"/>
      <charset val="129"/>
      <scheme val="minor"/>
    </font>
    <font>
      <b/>
      <sz val="11"/>
      <color rgb="FFFF0000"/>
      <name val="맑은 고딕"/>
      <family val="3"/>
      <charset val="129"/>
      <scheme val="minor"/>
    </font>
    <font>
      <sz val="11"/>
      <color rgb="FFFF0000"/>
      <name val="맑은 고딕"/>
      <family val="2"/>
      <charset val="129"/>
      <scheme val="minor"/>
    </font>
    <font>
      <sz val="11"/>
      <color rgb="FFFF0000"/>
      <name val="맑은 고딕"/>
      <family val="3"/>
      <charset val="129"/>
      <scheme val="minor"/>
    </font>
    <font>
      <sz val="11"/>
      <name val="맑은 고딕"/>
      <family val="2"/>
      <charset val="129"/>
      <scheme val="minor"/>
    </font>
    <font>
      <sz val="11"/>
      <color theme="1"/>
      <name val="Calibri"/>
      <family val="3"/>
      <charset val="161"/>
    </font>
    <font>
      <sz val="7.7"/>
      <color theme="1"/>
      <name val="맑은 고딕"/>
      <family val="3"/>
      <charset val="129"/>
    </font>
    <font>
      <sz val="10"/>
      <name val="돋움"/>
      <family val="3"/>
      <charset val="129"/>
    </font>
    <font>
      <sz val="10"/>
      <color theme="1"/>
      <name val="돋움"/>
      <family val="3"/>
      <charset val="129"/>
    </font>
    <font>
      <b/>
      <sz val="9"/>
      <color indexed="81"/>
      <name val="Tahoma"/>
      <family val="2"/>
    </font>
    <font>
      <sz val="9"/>
      <color indexed="81"/>
      <name val="Tahoma"/>
      <family val="2"/>
    </font>
    <font>
      <sz val="9"/>
      <color indexed="81"/>
      <name val="돋움"/>
      <family val="3"/>
      <charset val="129"/>
    </font>
    <font>
      <b/>
      <sz val="16"/>
      <color theme="1"/>
      <name val="맑은 고딕"/>
      <family val="3"/>
      <charset val="129"/>
      <scheme val="minor"/>
    </font>
    <font>
      <sz val="11"/>
      <color theme="1"/>
      <name val="맑은 고딕"/>
      <family val="1"/>
      <scheme val="minor"/>
    </font>
    <font>
      <sz val="12"/>
      <color rgb="FF333333"/>
      <name val="Malgun Gothic"/>
      <family val="3"/>
      <charset val="129"/>
    </font>
    <font>
      <sz val="11"/>
      <color rgb="FF333333"/>
      <name val="Malgun Gothic"/>
      <family val="3"/>
      <charset val="129"/>
    </font>
    <font>
      <sz val="16"/>
      <color theme="1"/>
      <name val="맑은 고딕"/>
      <family val="3"/>
      <charset val="129"/>
      <scheme val="minor"/>
    </font>
    <font>
      <sz val="10"/>
      <color rgb="FF000000"/>
      <name val="Arial"/>
      <family val="2"/>
    </font>
  </fonts>
  <fills count="17">
    <fill>
      <patternFill patternType="none"/>
    </fill>
    <fill>
      <patternFill patternType="gray125"/>
    </fill>
    <fill>
      <patternFill patternType="solid">
        <fgColor rgb="FF92D05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bgColor indexed="64"/>
      </patternFill>
    </fill>
    <fill>
      <patternFill patternType="solid">
        <fgColor rgb="FFFFC000"/>
        <bgColor indexed="64"/>
      </patternFill>
    </fill>
    <fill>
      <patternFill patternType="solid">
        <fgColor theme="3" tint="0.89999084444715716"/>
        <bgColor indexed="64"/>
      </patternFill>
    </fill>
    <fill>
      <patternFill patternType="solid">
        <fgColor rgb="FFFF0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theme="9" tint="0.79998168889431442"/>
      </patternFill>
    </fill>
  </fills>
  <borders count="48">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style="thin">
        <color indexed="64"/>
      </right>
      <top style="double">
        <color indexed="64"/>
      </top>
      <bottom style="double">
        <color indexed="64"/>
      </bottom>
      <diagonal/>
    </border>
    <border>
      <left/>
      <right style="thin">
        <color indexed="64"/>
      </right>
      <top style="double">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style="thin">
        <color indexed="64"/>
      </bottom>
      <diagonal/>
    </border>
    <border>
      <left/>
      <right style="thin">
        <color indexed="64"/>
      </right>
      <top style="thin">
        <color indexed="64"/>
      </top>
      <bottom style="double">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top style="thin">
        <color theme="2" tint="-0.24994659260841701"/>
      </top>
      <bottom style="thin">
        <color theme="2" tint="-0.24994659260841701"/>
      </bottom>
      <diagonal/>
    </border>
    <border>
      <left/>
      <right/>
      <top style="thin">
        <color theme="2" tint="-0.24994659260841701"/>
      </top>
      <bottom style="thin">
        <color theme="2" tint="-0.24994659260841701"/>
      </bottom>
      <diagonal/>
    </border>
    <border>
      <left/>
      <right style="thin">
        <color theme="2" tint="-0.24994659260841701"/>
      </right>
      <top style="thin">
        <color theme="2" tint="-0.24994659260841701"/>
      </top>
      <bottom style="thin">
        <color theme="2" tint="-0.2499465926084170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theme="9" tint="0.39997558519241921"/>
      </left>
      <right/>
      <top style="thin">
        <color theme="9" tint="0.39997558519241921"/>
      </top>
      <bottom style="thin">
        <color theme="9" tint="0.39997558519241921"/>
      </bottom>
      <diagonal/>
    </border>
    <border>
      <left style="thin">
        <color theme="2" tint="-0.24994659260841701"/>
      </left>
      <right/>
      <top style="thin">
        <color theme="2" tint="-0.24994659260841701"/>
      </top>
      <bottom/>
      <diagonal/>
    </border>
    <border>
      <left/>
      <right/>
      <top style="thin">
        <color theme="2" tint="-0.24994659260841701"/>
      </top>
      <bottom/>
      <diagonal/>
    </border>
    <border>
      <left/>
      <right style="thin">
        <color theme="2" tint="-0.24994659260841701"/>
      </right>
      <top style="thin">
        <color theme="2" tint="-0.24994659260841701"/>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10">
    <xf numFmtId="0" fontId="0" fillId="0" borderId="0">
      <alignment vertical="center"/>
    </xf>
    <xf numFmtId="41" fontId="6" fillId="0" borderId="0" applyFont="0" applyFill="0" applyBorder="0" applyAlignment="0" applyProtection="0">
      <alignment vertical="center"/>
    </xf>
    <xf numFmtId="0" fontId="11" fillId="0" borderId="0"/>
    <xf numFmtId="0" fontId="14" fillId="0" borderId="0">
      <alignment vertical="center"/>
    </xf>
    <xf numFmtId="0" fontId="15" fillId="0" borderId="0"/>
    <xf numFmtId="0" fontId="15" fillId="0" borderId="0">
      <alignment vertical="center"/>
    </xf>
    <xf numFmtId="0" fontId="11" fillId="0" borderId="0">
      <alignment vertical="center"/>
    </xf>
    <xf numFmtId="0" fontId="14" fillId="0" borderId="0">
      <alignment vertical="center"/>
    </xf>
    <xf numFmtId="9" fontId="6" fillId="0" borderId="0" applyFont="0" applyFill="0" applyBorder="0" applyAlignment="0" applyProtection="0">
      <alignment vertical="center"/>
    </xf>
    <xf numFmtId="0" fontId="46" fillId="0" borderId="0"/>
  </cellStyleXfs>
  <cellXfs count="237">
    <xf numFmtId="0" fontId="0" fillId="0" borderId="0" xfId="0">
      <alignment vertical="center"/>
    </xf>
    <xf numFmtId="14" fontId="0" fillId="0" borderId="0" xfId="0" applyNumberFormat="1">
      <alignment vertical="center"/>
    </xf>
    <xf numFmtId="0" fontId="0" fillId="0" borderId="0" xfId="0" applyAlignment="1">
      <alignment horizontal="center" vertical="center"/>
    </xf>
    <xf numFmtId="177" fontId="0" fillId="0" borderId="0" xfId="0" applyNumberFormat="1">
      <alignment vertical="center"/>
    </xf>
    <xf numFmtId="0" fontId="5" fillId="0" borderId="0" xfId="0" applyFont="1" applyAlignment="1">
      <alignment horizontal="center" vertical="center"/>
    </xf>
    <xf numFmtId="0" fontId="9" fillId="0" borderId="0" xfId="0" applyFont="1">
      <alignment vertical="center"/>
    </xf>
    <xf numFmtId="0" fontId="0" fillId="0" borderId="5" xfId="0" applyBorder="1">
      <alignment vertical="center"/>
    </xf>
    <xf numFmtId="0" fontId="0" fillId="0" borderId="4" xfId="0" applyBorder="1">
      <alignment vertical="center"/>
    </xf>
    <xf numFmtId="0" fontId="0" fillId="4" borderId="8" xfId="0" applyFill="1" applyBorder="1" applyAlignment="1">
      <alignment horizontal="center" vertical="center"/>
    </xf>
    <xf numFmtId="0" fontId="4" fillId="4" borderId="8" xfId="0" applyFont="1" applyFill="1" applyBorder="1" applyAlignment="1">
      <alignment horizontal="center" vertical="center"/>
    </xf>
    <xf numFmtId="0" fontId="0" fillId="4" borderId="10" xfId="0" applyFill="1" applyBorder="1" applyAlignment="1">
      <alignment horizontal="center" vertical="center"/>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7" xfId="0" applyFill="1" applyBorder="1">
      <alignment vertical="center"/>
    </xf>
    <xf numFmtId="0" fontId="0" fillId="4" borderId="7" xfId="0" applyFill="1" applyBorder="1" applyAlignment="1">
      <alignment horizontal="center" vertical="center"/>
    </xf>
    <xf numFmtId="0" fontId="0" fillId="0" borderId="16" xfId="0" applyBorder="1" applyAlignment="1">
      <alignment horizontal="center" vertical="center"/>
    </xf>
    <xf numFmtId="41" fontId="0" fillId="0" borderId="8" xfId="1" applyFont="1" applyBorder="1" applyAlignment="1">
      <alignment horizontal="center" vertical="center"/>
    </xf>
    <xf numFmtId="14" fontId="0" fillId="0" borderId="0" xfId="0" applyNumberFormat="1" applyAlignment="1">
      <alignment horizontal="center" vertical="center"/>
    </xf>
    <xf numFmtId="179" fontId="0" fillId="0" borderId="0" xfId="0" applyNumberFormat="1" applyAlignment="1">
      <alignment horizontal="center" vertical="center"/>
    </xf>
    <xf numFmtId="178" fontId="5" fillId="0" borderId="0" xfId="8" applyNumberFormat="1" applyFont="1" applyAlignment="1">
      <alignment horizontal="center" vertical="center"/>
    </xf>
    <xf numFmtId="0" fontId="2" fillId="4" borderId="8" xfId="3" applyFont="1" applyFill="1" applyBorder="1" applyAlignment="1">
      <alignment horizontal="center" vertical="center" wrapText="1"/>
    </xf>
    <xf numFmtId="0" fontId="20" fillId="4" borderId="8" xfId="3" applyFont="1" applyFill="1" applyBorder="1" applyAlignment="1">
      <alignment horizontal="center" vertical="center" wrapText="1"/>
    </xf>
    <xf numFmtId="0" fontId="2" fillId="4" borderId="8" xfId="6" applyFont="1" applyFill="1" applyBorder="1" applyAlignment="1" applyProtection="1">
      <alignment horizontal="center" vertical="center"/>
      <protection locked="0"/>
    </xf>
    <xf numFmtId="0" fontId="0" fillId="0" borderId="7" xfId="0" applyBorder="1" applyAlignment="1">
      <alignment horizontal="right" vertical="center"/>
    </xf>
    <xf numFmtId="0" fontId="4" fillId="0" borderId="5" xfId="0" applyFont="1" applyBorder="1" applyAlignment="1">
      <alignment horizontal="center" vertical="center"/>
    </xf>
    <xf numFmtId="0" fontId="5" fillId="0" borderId="0" xfId="0" applyFont="1" applyAlignment="1">
      <alignment horizontal="center" vertical="center" shrinkToFit="1"/>
    </xf>
    <xf numFmtId="0" fontId="0" fillId="4" borderId="27" xfId="0" applyFill="1" applyBorder="1" applyAlignment="1">
      <alignment horizontal="center" vertical="center"/>
    </xf>
    <xf numFmtId="41" fontId="0" fillId="0" borderId="27" xfId="1" applyFont="1" applyBorder="1" applyAlignment="1">
      <alignment horizontal="center" vertical="center"/>
    </xf>
    <xf numFmtId="0" fontId="0" fillId="0" borderId="8" xfId="0" applyBorder="1">
      <alignment vertical="center"/>
    </xf>
    <xf numFmtId="0" fontId="5" fillId="4" borderId="8" xfId="0" applyFont="1" applyFill="1" applyBorder="1" applyAlignment="1">
      <alignment horizontal="center" vertical="center"/>
    </xf>
    <xf numFmtId="0" fontId="0" fillId="3" borderId="8" xfId="0" applyFill="1" applyBorder="1">
      <alignment vertical="center"/>
    </xf>
    <xf numFmtId="0" fontId="8" fillId="0" borderId="30" xfId="0" applyFont="1" applyBorder="1">
      <alignment vertical="center"/>
    </xf>
    <xf numFmtId="0" fontId="8" fillId="0" borderId="30" xfId="0" applyFont="1" applyBorder="1" applyAlignment="1">
      <alignment horizontal="center" vertical="center"/>
    </xf>
    <xf numFmtId="0" fontId="26" fillId="0" borderId="30" xfId="0" applyFont="1" applyBorder="1" applyAlignment="1">
      <alignment horizontal="right" vertical="center" wrapText="1" indent="1"/>
    </xf>
    <xf numFmtId="43" fontId="0" fillId="0" borderId="8" xfId="1" applyNumberFormat="1" applyFont="1" applyBorder="1">
      <alignment vertical="center"/>
    </xf>
    <xf numFmtId="43" fontId="0" fillId="0" borderId="27" xfId="1" applyNumberFormat="1" applyFont="1" applyBorder="1">
      <alignment vertical="center"/>
    </xf>
    <xf numFmtId="180" fontId="0" fillId="0" borderId="10" xfId="1" applyNumberFormat="1" applyFont="1" applyBorder="1" applyAlignment="1">
      <alignment horizontal="center" vertical="center"/>
    </xf>
    <xf numFmtId="0" fontId="8" fillId="0" borderId="30" xfId="0" applyFont="1" applyBorder="1" applyAlignment="1">
      <alignment vertical="center" shrinkToFit="1"/>
    </xf>
    <xf numFmtId="2" fontId="0" fillId="3" borderId="8" xfId="0" applyNumberFormat="1" applyFill="1" applyBorder="1">
      <alignment vertical="center"/>
    </xf>
    <xf numFmtId="2" fontId="0" fillId="0" borderId="8" xfId="0" applyNumberFormat="1" applyBorder="1">
      <alignment vertical="center"/>
    </xf>
    <xf numFmtId="2" fontId="0" fillId="0" borderId="8" xfId="1" applyNumberFormat="1" applyFont="1" applyBorder="1">
      <alignment vertical="center"/>
    </xf>
    <xf numFmtId="0" fontId="5" fillId="0" borderId="4" xfId="0" applyFont="1" applyBorder="1">
      <alignment vertical="center"/>
    </xf>
    <xf numFmtId="0" fontId="5" fillId="0" borderId="4" xfId="0" applyFont="1" applyBorder="1" applyAlignment="1">
      <alignment horizontal="center" vertical="center"/>
    </xf>
    <xf numFmtId="180" fontId="0" fillId="0" borderId="8" xfId="1" applyNumberFormat="1" applyFont="1" applyBorder="1" applyAlignment="1">
      <alignment horizontal="center" vertical="center"/>
    </xf>
    <xf numFmtId="180" fontId="0" fillId="0" borderId="8" xfId="1" applyNumberFormat="1" applyFont="1" applyBorder="1" applyAlignment="1">
      <alignment horizontal="right" vertical="center"/>
    </xf>
    <xf numFmtId="0" fontId="21" fillId="0" borderId="8" xfId="4" applyFont="1" applyBorder="1" applyAlignment="1" applyProtection="1">
      <alignment horizontal="center" vertical="center"/>
      <protection locked="0"/>
    </xf>
    <xf numFmtId="41" fontId="0" fillId="0" borderId="0" xfId="1" applyFont="1">
      <alignment vertical="center"/>
    </xf>
    <xf numFmtId="177" fontId="0" fillId="8" borderId="0" xfId="0" applyNumberFormat="1" applyFill="1">
      <alignment vertical="center"/>
    </xf>
    <xf numFmtId="176" fontId="5" fillId="0" borderId="0" xfId="0" applyNumberFormat="1" applyFont="1" applyAlignment="1">
      <alignment horizontal="center" vertical="center"/>
    </xf>
    <xf numFmtId="0" fontId="3" fillId="0" borderId="0" xfId="0" applyFont="1">
      <alignment vertical="center"/>
    </xf>
    <xf numFmtId="0" fontId="0" fillId="0" borderId="1" xfId="0" applyBorder="1">
      <alignment vertical="center"/>
    </xf>
    <xf numFmtId="0" fontId="0" fillId="0" borderId="2" xfId="0" applyBorder="1">
      <alignment vertical="center"/>
    </xf>
    <xf numFmtId="0" fontId="3" fillId="0" borderId="2" xfId="0" applyFont="1" applyBorder="1">
      <alignment vertical="center"/>
    </xf>
    <xf numFmtId="0" fontId="0" fillId="0" borderId="3" xfId="0" applyBorder="1">
      <alignment vertical="center"/>
    </xf>
    <xf numFmtId="0" fontId="5" fillId="0" borderId="0" xfId="0" applyFont="1">
      <alignment vertical="center"/>
    </xf>
    <xf numFmtId="0" fontId="5" fillId="0" borderId="8" xfId="0" applyFont="1" applyBorder="1">
      <alignment vertical="center"/>
    </xf>
    <xf numFmtId="0" fontId="5" fillId="4" borderId="8" xfId="0" applyFont="1" applyFill="1" applyBorder="1" applyAlignment="1">
      <alignment horizontal="center" vertical="center" shrinkToFit="1"/>
    </xf>
    <xf numFmtId="41" fontId="0" fillId="9" borderId="0" xfId="1" applyFont="1" applyFill="1">
      <alignment vertical="center"/>
    </xf>
    <xf numFmtId="0" fontId="0" fillId="9" borderId="0" xfId="0" applyFill="1">
      <alignment vertical="center"/>
    </xf>
    <xf numFmtId="14" fontId="0" fillId="9" borderId="0" xfId="0" applyNumberFormat="1" applyFill="1">
      <alignment vertical="center"/>
    </xf>
    <xf numFmtId="41" fontId="0" fillId="9" borderId="0" xfId="0" applyNumberFormat="1" applyFill="1">
      <alignment vertical="center"/>
    </xf>
    <xf numFmtId="176" fontId="0" fillId="9" borderId="0" xfId="0" applyNumberFormat="1" applyFill="1">
      <alignment vertical="center"/>
    </xf>
    <xf numFmtId="0" fontId="27" fillId="9" borderId="0" xfId="0" applyFont="1" applyFill="1" applyAlignment="1">
      <alignment horizontal="center" vertical="center" wrapText="1"/>
    </xf>
    <xf numFmtId="14" fontId="27" fillId="2" borderId="0" xfId="0" applyNumberFormat="1" applyFont="1" applyFill="1" applyAlignment="1">
      <alignment horizontal="center" vertical="center" wrapText="1"/>
    </xf>
    <xf numFmtId="0" fontId="27" fillId="2" borderId="0" xfId="0" applyFont="1" applyFill="1" applyAlignment="1">
      <alignment horizontal="center" vertical="center" wrapText="1"/>
    </xf>
    <xf numFmtId="41" fontId="27" fillId="2" borderId="0" xfId="1" applyFont="1" applyFill="1" applyAlignment="1">
      <alignment horizontal="center" vertical="center" wrapText="1"/>
    </xf>
    <xf numFmtId="14" fontId="27" fillId="9" borderId="0" xfId="0" applyNumberFormat="1" applyFont="1" applyFill="1" applyAlignment="1">
      <alignment horizontal="center" vertical="center" wrapText="1"/>
    </xf>
    <xf numFmtId="0" fontId="27" fillId="0" borderId="0" xfId="0" applyFont="1" applyAlignment="1">
      <alignment horizontal="center" vertical="center" wrapText="1"/>
    </xf>
    <xf numFmtId="0" fontId="28" fillId="9" borderId="0" xfId="0" applyFont="1" applyFill="1" applyAlignment="1">
      <alignment horizontal="center" vertical="center" wrapText="1"/>
    </xf>
    <xf numFmtId="0" fontId="5" fillId="9" borderId="0" xfId="0" applyFont="1" applyFill="1">
      <alignment vertical="center"/>
    </xf>
    <xf numFmtId="176" fontId="0" fillId="6" borderId="0" xfId="0" applyNumberFormat="1" applyFill="1">
      <alignment vertical="center"/>
    </xf>
    <xf numFmtId="180" fontId="0" fillId="0" borderId="6" xfId="1" applyNumberFormat="1" applyFont="1" applyBorder="1" applyAlignment="1">
      <alignment vertical="center"/>
    </xf>
    <xf numFmtId="181" fontId="0" fillId="0" borderId="8" xfId="1" applyNumberFormat="1" applyFont="1" applyBorder="1" applyAlignment="1">
      <alignment horizontal="center" vertical="center"/>
    </xf>
    <xf numFmtId="0" fontId="28" fillId="2" borderId="0" xfId="1" applyNumberFormat="1" applyFont="1" applyFill="1" applyAlignment="1">
      <alignment horizontal="center" vertical="center" wrapText="1"/>
    </xf>
    <xf numFmtId="0" fontId="5" fillId="0" borderId="0" xfId="1" applyNumberFormat="1" applyFont="1">
      <alignment vertical="center"/>
    </xf>
    <xf numFmtId="0" fontId="0" fillId="9" borderId="34" xfId="0" applyFill="1" applyBorder="1">
      <alignment vertical="center"/>
    </xf>
    <xf numFmtId="0" fontId="0" fillId="0" borderId="0" xfId="0" applyAlignment="1">
      <alignment horizontal="left" vertical="center"/>
    </xf>
    <xf numFmtId="185" fontId="0" fillId="0" borderId="7" xfId="1" applyNumberFormat="1" applyFont="1" applyBorder="1" applyAlignment="1">
      <alignment horizontal="center" vertical="center"/>
    </xf>
    <xf numFmtId="0" fontId="0" fillId="5" borderId="12" xfId="0" applyFill="1" applyBorder="1" applyAlignment="1">
      <alignment horizontal="center" vertical="center"/>
    </xf>
    <xf numFmtId="41" fontId="0" fillId="5" borderId="12" xfId="1" applyFont="1" applyFill="1" applyBorder="1" applyAlignment="1">
      <alignment horizontal="center" vertical="center"/>
    </xf>
    <xf numFmtId="41" fontId="0" fillId="5" borderId="37" xfId="1" applyFont="1" applyFill="1" applyBorder="1" applyAlignment="1">
      <alignment horizontal="center" vertical="center"/>
    </xf>
    <xf numFmtId="41" fontId="0" fillId="5" borderId="17" xfId="1" applyFont="1" applyFill="1" applyBorder="1" applyAlignment="1">
      <alignment horizontal="center" vertical="center"/>
    </xf>
    <xf numFmtId="41" fontId="0" fillId="5" borderId="38" xfId="1" applyFont="1" applyFill="1" applyBorder="1" applyAlignment="1">
      <alignment horizontal="center" vertical="center"/>
    </xf>
    <xf numFmtId="0" fontId="0" fillId="4" borderId="36" xfId="0" applyFill="1" applyBorder="1" applyAlignment="1">
      <alignment horizontal="center" vertical="center"/>
    </xf>
    <xf numFmtId="0" fontId="5" fillId="0" borderId="0" xfId="0" applyFont="1" applyAlignment="1">
      <alignment horizontal="right" vertical="center"/>
    </xf>
    <xf numFmtId="0" fontId="4" fillId="0" borderId="0" xfId="0" applyFont="1" applyAlignment="1">
      <alignment horizontal="center" vertical="center"/>
    </xf>
    <xf numFmtId="0" fontId="28" fillId="9" borderId="34" xfId="0" applyFont="1" applyFill="1" applyBorder="1" applyAlignment="1">
      <alignment horizontal="center" vertical="center" wrapText="1"/>
    </xf>
    <xf numFmtId="0" fontId="28" fillId="9" borderId="35" xfId="0" applyFont="1" applyFill="1" applyBorder="1" applyAlignment="1">
      <alignment horizontal="center" vertical="center" wrapText="1"/>
    </xf>
    <xf numFmtId="14" fontId="28" fillId="2" borderId="35" xfId="0" applyNumberFormat="1" applyFont="1" applyFill="1" applyBorder="1" applyAlignment="1">
      <alignment horizontal="center" vertical="center" wrapText="1"/>
    </xf>
    <xf numFmtId="0" fontId="28" fillId="2" borderId="35" xfId="0" applyFont="1" applyFill="1" applyBorder="1" applyAlignment="1">
      <alignment horizontal="center" vertical="center" wrapText="1"/>
    </xf>
    <xf numFmtId="41" fontId="28" fillId="2" borderId="35" xfId="1" applyFont="1" applyFill="1" applyBorder="1" applyAlignment="1">
      <alignment horizontal="center" vertical="center" wrapText="1"/>
    </xf>
    <xf numFmtId="0" fontId="28" fillId="2" borderId="35" xfId="1" applyNumberFormat="1" applyFont="1" applyFill="1" applyBorder="1" applyAlignment="1">
      <alignment horizontal="center" vertical="center" wrapText="1"/>
    </xf>
    <xf numFmtId="0" fontId="29" fillId="0" borderId="0" xfId="0" applyFont="1">
      <alignment vertical="center"/>
    </xf>
    <xf numFmtId="0" fontId="19" fillId="7" borderId="35" xfId="0" applyFont="1" applyFill="1" applyBorder="1" applyAlignment="1">
      <alignment horizontal="center" vertical="center"/>
    </xf>
    <xf numFmtId="0" fontId="19" fillId="10" borderId="35" xfId="0" applyFont="1" applyFill="1" applyBorder="1" applyAlignment="1">
      <alignment horizontal="center" vertical="center"/>
    </xf>
    <xf numFmtId="0" fontId="19" fillId="10" borderId="40" xfId="0" applyFont="1" applyFill="1" applyBorder="1" applyAlignment="1">
      <alignment horizontal="center" vertical="center"/>
    </xf>
    <xf numFmtId="0" fontId="19" fillId="7" borderId="40" xfId="0" applyFont="1" applyFill="1" applyBorder="1" applyAlignment="1">
      <alignment horizontal="center" vertical="center"/>
    </xf>
    <xf numFmtId="0" fontId="30" fillId="9" borderId="0" xfId="0" applyFont="1" applyFill="1">
      <alignment vertical="center"/>
    </xf>
    <xf numFmtId="0" fontId="30" fillId="11" borderId="0" xfId="0" applyFont="1" applyFill="1">
      <alignment vertical="center"/>
    </xf>
    <xf numFmtId="0" fontId="0" fillId="11" borderId="0" xfId="0" applyFill="1">
      <alignment vertical="center"/>
    </xf>
    <xf numFmtId="0" fontId="0" fillId="6" borderId="0" xfId="0" applyFill="1">
      <alignment vertical="center"/>
    </xf>
    <xf numFmtId="176" fontId="0" fillId="11" borderId="0" xfId="0" applyNumberFormat="1" applyFill="1">
      <alignment vertical="center"/>
    </xf>
    <xf numFmtId="0" fontId="4" fillId="11" borderId="0" xfId="0" applyFont="1" applyFill="1">
      <alignment vertical="center"/>
    </xf>
    <xf numFmtId="176" fontId="0" fillId="0" borderId="0" xfId="0" applyNumberFormat="1">
      <alignment vertical="center"/>
    </xf>
    <xf numFmtId="0" fontId="0" fillId="8" borderId="0" xfId="0" applyFill="1">
      <alignment vertical="center"/>
    </xf>
    <xf numFmtId="0" fontId="0" fillId="0" borderId="0" xfId="0" applyAlignment="1">
      <alignment vertical="center" wrapText="1"/>
    </xf>
    <xf numFmtId="0" fontId="0" fillId="0" borderId="0" xfId="0" applyAlignment="1">
      <alignment horizontal="center" vertical="center" wrapText="1"/>
    </xf>
    <xf numFmtId="0" fontId="30" fillId="0" borderId="0" xfId="0" applyFont="1">
      <alignment vertical="center"/>
    </xf>
    <xf numFmtId="176" fontId="0" fillId="13" borderId="0" xfId="0" applyNumberFormat="1" applyFill="1">
      <alignment vertical="center"/>
    </xf>
    <xf numFmtId="9" fontId="0" fillId="0" borderId="0" xfId="0" applyNumberFormat="1">
      <alignment vertical="center"/>
    </xf>
    <xf numFmtId="0" fontId="18" fillId="0" borderId="0" xfId="0" applyFont="1" applyAlignment="1">
      <alignment vertical="center" wrapText="1"/>
    </xf>
    <xf numFmtId="0" fontId="32" fillId="6" borderId="0" xfId="0" applyFont="1" applyFill="1">
      <alignment vertical="center"/>
    </xf>
    <xf numFmtId="0" fontId="5" fillId="11" borderId="0" xfId="0" applyFont="1" applyFill="1">
      <alignment vertical="center"/>
    </xf>
    <xf numFmtId="176" fontId="0" fillId="14" borderId="0" xfId="0" applyNumberFormat="1" applyFill="1">
      <alignment vertical="center"/>
    </xf>
    <xf numFmtId="0" fontId="0" fillId="11" borderId="0" xfId="0" applyFill="1" applyAlignment="1">
      <alignment vertical="center" wrapText="1"/>
    </xf>
    <xf numFmtId="0" fontId="33" fillId="11" borderId="0" xfId="0" applyFont="1" applyFill="1">
      <alignment vertical="center"/>
    </xf>
    <xf numFmtId="0" fontId="0" fillId="12" borderId="34" xfId="0" applyFill="1" applyBorder="1">
      <alignment vertical="center"/>
    </xf>
    <xf numFmtId="0" fontId="0" fillId="13" borderId="0" xfId="0" applyFill="1">
      <alignment vertical="center"/>
    </xf>
    <xf numFmtId="0" fontId="0" fillId="0" borderId="35" xfId="0" applyBorder="1">
      <alignment vertical="center"/>
    </xf>
    <xf numFmtId="0" fontId="31" fillId="6" borderId="0" xfId="0" applyFont="1" applyFill="1">
      <alignment vertical="center"/>
    </xf>
    <xf numFmtId="0" fontId="22" fillId="6" borderId="0" xfId="0" applyFont="1" applyFill="1">
      <alignment vertical="center"/>
    </xf>
    <xf numFmtId="0" fontId="0" fillId="6" borderId="0" xfId="0" applyFill="1" applyAlignment="1">
      <alignment vertical="center" wrapText="1"/>
    </xf>
    <xf numFmtId="0" fontId="30" fillId="15" borderId="0" xfId="0" applyFont="1" applyFill="1">
      <alignment vertical="center"/>
    </xf>
    <xf numFmtId="0" fontId="36" fillId="6" borderId="0" xfId="0" applyFont="1" applyFill="1" applyAlignment="1">
      <alignment vertical="center" wrapText="1"/>
    </xf>
    <xf numFmtId="0" fontId="37" fillId="6" borderId="0" xfId="0" applyFont="1" applyFill="1">
      <alignment vertical="center"/>
    </xf>
    <xf numFmtId="0" fontId="41" fillId="6" borderId="0" xfId="0" applyFont="1" applyFill="1">
      <alignment vertical="center"/>
    </xf>
    <xf numFmtId="0" fontId="41" fillId="2" borderId="0" xfId="0" applyFont="1" applyFill="1">
      <alignment vertical="center"/>
    </xf>
    <xf numFmtId="0" fontId="41" fillId="0" borderId="0" xfId="0" applyFont="1">
      <alignment vertical="center"/>
    </xf>
    <xf numFmtId="0" fontId="5" fillId="16" borderId="41" xfId="0" applyFont="1" applyFill="1" applyBorder="1">
      <alignment vertical="center"/>
    </xf>
    <xf numFmtId="41" fontId="0" fillId="11" borderId="0" xfId="1" applyFont="1" applyFill="1">
      <alignment vertical="center"/>
    </xf>
    <xf numFmtId="0" fontId="21" fillId="11" borderId="8" xfId="4" applyFont="1" applyFill="1" applyBorder="1" applyAlignment="1" applyProtection="1">
      <alignment horizontal="center" vertical="center"/>
      <protection locked="0"/>
    </xf>
    <xf numFmtId="41" fontId="0" fillId="8" borderId="0" xfId="0" applyNumberFormat="1" applyFill="1">
      <alignment vertical="center"/>
    </xf>
    <xf numFmtId="14" fontId="0" fillId="8" borderId="0" xfId="0" applyNumberFormat="1" applyFill="1">
      <alignment vertical="center"/>
    </xf>
    <xf numFmtId="0" fontId="18" fillId="0" borderId="0" xfId="0" applyFont="1">
      <alignment vertical="center"/>
    </xf>
    <xf numFmtId="0" fontId="30" fillId="13" borderId="0" xfId="0" applyFont="1" applyFill="1">
      <alignment vertical="center"/>
    </xf>
    <xf numFmtId="0" fontId="0" fillId="15" borderId="0" xfId="0" applyFill="1">
      <alignment vertical="center"/>
    </xf>
    <xf numFmtId="0" fontId="43" fillId="0" borderId="0" xfId="0" applyFont="1">
      <alignment vertical="center"/>
    </xf>
    <xf numFmtId="0" fontId="44" fillId="0" borderId="0" xfId="0" applyFont="1">
      <alignment vertical="center"/>
    </xf>
    <xf numFmtId="0" fontId="45" fillId="0" borderId="45" xfId="0" applyFont="1" applyBorder="1" applyAlignment="1">
      <alignment horizontal="distributed" vertical="center" indent="1"/>
    </xf>
    <xf numFmtId="0" fontId="41" fillId="0" borderId="46" xfId="0" applyFont="1" applyBorder="1" applyAlignment="1">
      <alignment horizontal="left" vertical="center" indent="1"/>
    </xf>
    <xf numFmtId="0" fontId="41" fillId="0" borderId="47" xfId="0" applyFont="1" applyBorder="1">
      <alignment vertical="center"/>
    </xf>
    <xf numFmtId="0" fontId="45" fillId="0" borderId="28" xfId="0" applyFont="1" applyBorder="1" applyAlignment="1">
      <alignment horizontal="distributed" vertical="center" indent="1"/>
    </xf>
    <xf numFmtId="0" fontId="45" fillId="0" borderId="8" xfId="0" applyFont="1" applyBorder="1" applyAlignment="1">
      <alignment horizontal="left" vertical="center" wrapText="1" indent="1"/>
    </xf>
    <xf numFmtId="186" fontId="45" fillId="0" borderId="27" xfId="0" applyNumberFormat="1" applyFont="1" applyBorder="1" applyAlignment="1">
      <alignment horizontal="left" vertical="center" wrapText="1" indent="1"/>
    </xf>
    <xf numFmtId="0" fontId="45" fillId="0" borderId="24" xfId="0" applyFont="1" applyBorder="1" applyAlignment="1">
      <alignment horizontal="distributed" vertical="center" indent="1"/>
    </xf>
    <xf numFmtId="0" fontId="36" fillId="11" borderId="0" xfId="0" applyFont="1" applyFill="1" applyAlignment="1">
      <alignment vertical="center" wrapText="1"/>
    </xf>
    <xf numFmtId="0" fontId="37" fillId="11" borderId="0" xfId="0" applyFont="1" applyFill="1">
      <alignment vertical="center"/>
    </xf>
    <xf numFmtId="0" fontId="0" fillId="0" borderId="0" xfId="9" applyFont="1"/>
    <xf numFmtId="0" fontId="10" fillId="0" borderId="4" xfId="0" applyFont="1" applyBorder="1" applyAlignment="1">
      <alignment horizontal="center" vertical="center"/>
    </xf>
    <xf numFmtId="0" fontId="10" fillId="0" borderId="0" xfId="0" applyFont="1" applyAlignment="1">
      <alignment horizontal="center" vertical="center"/>
    </xf>
    <xf numFmtId="14" fontId="5" fillId="0" borderId="23" xfId="0" applyNumberFormat="1" applyFont="1" applyBorder="1" applyAlignment="1">
      <alignment horizontal="left" vertical="center"/>
    </xf>
    <xf numFmtId="0" fontId="5" fillId="0" borderId="0" xfId="0" applyFont="1" applyAlignment="1">
      <alignment horizontal="center" vertical="center"/>
    </xf>
    <xf numFmtId="0" fontId="5" fillId="0" borderId="5" xfId="0" applyFont="1" applyBorder="1" applyAlignment="1">
      <alignment horizontal="center" vertical="center"/>
    </xf>
    <xf numFmtId="0" fontId="12" fillId="4" borderId="28" xfId="2" applyFont="1" applyFill="1" applyBorder="1" applyAlignment="1">
      <alignment horizontal="center" vertical="center" wrapText="1"/>
    </xf>
    <xf numFmtId="0" fontId="2" fillId="0" borderId="8" xfId="3" applyFont="1" applyBorder="1" applyAlignment="1">
      <alignment horizontal="center" vertical="center" wrapText="1"/>
    </xf>
    <xf numFmtId="0" fontId="16" fillId="4" borderId="8" xfId="5" applyFont="1" applyFill="1" applyBorder="1" applyAlignment="1" applyProtection="1">
      <alignment horizontal="center" vertical="center"/>
      <protection locked="0"/>
    </xf>
    <xf numFmtId="0" fontId="25" fillId="11" borderId="8" xfId="5" applyFont="1" applyFill="1" applyBorder="1" applyAlignment="1" applyProtection="1">
      <alignment horizontal="center" vertical="center"/>
      <protection locked="0"/>
    </xf>
    <xf numFmtId="2" fontId="18" fillId="0" borderId="8" xfId="0" applyNumberFormat="1" applyFont="1" applyBorder="1" applyAlignment="1">
      <alignment horizontal="center" vertical="center"/>
    </xf>
    <xf numFmtId="2" fontId="18" fillId="0" borderId="27" xfId="0" applyNumberFormat="1" applyFont="1" applyBorder="1" applyAlignment="1">
      <alignment horizontal="center" vertical="center"/>
    </xf>
    <xf numFmtId="0" fontId="24" fillId="0" borderId="8" xfId="4" applyFont="1" applyBorder="1" applyAlignment="1" applyProtection="1">
      <alignment horizontal="center" vertical="center" shrinkToFit="1"/>
      <protection locked="0"/>
    </xf>
    <xf numFmtId="0" fontId="23" fillId="0" borderId="8" xfId="5" applyFont="1" applyBorder="1" applyAlignment="1" applyProtection="1">
      <alignment horizontal="center" vertical="center"/>
      <protection locked="0"/>
    </xf>
    <xf numFmtId="0" fontId="21" fillId="0" borderId="8" xfId="4" applyFont="1" applyBorder="1" applyAlignment="1" applyProtection="1">
      <alignment horizontal="center" vertical="center" shrinkToFit="1"/>
      <protection locked="0"/>
    </xf>
    <xf numFmtId="0" fontId="21" fillId="11" borderId="8" xfId="5" applyFont="1" applyFill="1" applyBorder="1" applyAlignment="1" applyProtection="1">
      <alignment horizontal="center" vertical="center"/>
      <protection locked="0"/>
    </xf>
    <xf numFmtId="0" fontId="22" fillId="0" borderId="8" xfId="6" applyFont="1" applyBorder="1" applyAlignment="1" applyProtection="1">
      <alignment horizontal="center" vertical="center"/>
      <protection locked="0"/>
    </xf>
    <xf numFmtId="0" fontId="22" fillId="0" borderId="27" xfId="6" applyFont="1" applyBorder="1" applyAlignment="1" applyProtection="1">
      <alignment horizontal="center" vertical="center"/>
      <protection locked="0"/>
    </xf>
    <xf numFmtId="0" fontId="18" fillId="0" borderId="8" xfId="0" applyFont="1" applyBorder="1" applyAlignment="1">
      <alignment horizontal="center" vertical="center"/>
    </xf>
    <xf numFmtId="0" fontId="2" fillId="4" borderId="8" xfId="3" applyFont="1" applyFill="1" applyBorder="1" applyAlignment="1">
      <alignment horizontal="center" vertical="center" wrapText="1"/>
    </xf>
    <xf numFmtId="0" fontId="22" fillId="0" borderId="8" xfId="7" applyFont="1" applyBorder="1" applyAlignment="1" applyProtection="1">
      <alignment horizontal="center" vertical="center" shrinkToFit="1"/>
      <protection locked="0"/>
    </xf>
    <xf numFmtId="0" fontId="18" fillId="0" borderId="8" xfId="0" applyFont="1" applyBorder="1" applyAlignment="1">
      <alignment horizontal="center" vertical="center" shrinkToFit="1"/>
    </xf>
    <xf numFmtId="0" fontId="18" fillId="0" borderId="27" xfId="0" applyFont="1" applyBorder="1" applyAlignment="1">
      <alignment horizontal="center" vertical="center" shrinkToFit="1"/>
    </xf>
    <xf numFmtId="0" fontId="0" fillId="0" borderId="0" xfId="0" applyAlignment="1">
      <alignment horizontal="center" vertical="center"/>
    </xf>
    <xf numFmtId="0" fontId="0" fillId="0" borderId="5" xfId="0" applyBorder="1" applyAlignment="1">
      <alignment horizontal="center" vertical="center"/>
    </xf>
    <xf numFmtId="41" fontId="0" fillId="0" borderId="8" xfId="1" applyFont="1" applyBorder="1" applyAlignment="1">
      <alignment horizontal="center" vertical="center"/>
    </xf>
    <xf numFmtId="0" fontId="5" fillId="4" borderId="21" xfId="0" applyFont="1" applyFill="1" applyBorder="1" applyAlignment="1">
      <alignment horizontal="center" vertical="center"/>
    </xf>
    <xf numFmtId="0" fontId="5" fillId="4" borderId="13" xfId="0" applyFont="1" applyFill="1" applyBorder="1" applyAlignment="1">
      <alignment horizontal="center" vertical="center"/>
    </xf>
    <xf numFmtId="0" fontId="5" fillId="4" borderId="14" xfId="0" applyFont="1" applyFill="1" applyBorder="1" applyAlignment="1">
      <alignment horizontal="center" vertical="center"/>
    </xf>
    <xf numFmtId="0" fontId="0" fillId="4" borderId="8" xfId="0" applyFill="1" applyBorder="1" applyAlignment="1">
      <alignment horizontal="center" vertical="center"/>
    </xf>
    <xf numFmtId="41" fontId="0" fillId="4" borderId="8" xfId="1" applyFont="1" applyFill="1" applyBorder="1" applyAlignment="1">
      <alignment horizontal="center" vertical="center"/>
    </xf>
    <xf numFmtId="0" fontId="5" fillId="4" borderId="8"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27" xfId="0" applyFont="1" applyFill="1" applyBorder="1" applyAlignment="1">
      <alignment horizontal="center" vertical="center"/>
    </xf>
    <xf numFmtId="41" fontId="0" fillId="0" borderId="8" xfId="1" applyFont="1" applyFill="1" applyBorder="1" applyAlignment="1">
      <alignment vertical="center"/>
    </xf>
    <xf numFmtId="41" fontId="0" fillId="0" borderId="8" xfId="1" applyFont="1" applyFill="1" applyBorder="1" applyAlignment="1">
      <alignment horizontal="center" vertical="center"/>
    </xf>
    <xf numFmtId="41" fontId="0" fillId="0" borderId="27" xfId="1" applyFont="1" applyFill="1" applyBorder="1" applyAlignment="1">
      <alignment horizontal="center" vertical="center"/>
    </xf>
    <xf numFmtId="0" fontId="5" fillId="4" borderId="8" xfId="0" applyFont="1" applyFill="1" applyBorder="1" applyAlignment="1">
      <alignment horizontal="center" vertical="center" wrapText="1"/>
    </xf>
    <xf numFmtId="0" fontId="0" fillId="0" borderId="8" xfId="0" applyBorder="1" applyAlignment="1">
      <alignment horizontal="left" vertical="center" shrinkToFit="1"/>
    </xf>
    <xf numFmtId="0" fontId="0" fillId="0" borderId="18" xfId="0" applyBorder="1" applyAlignment="1">
      <alignment vertical="top" wrapText="1"/>
    </xf>
    <xf numFmtId="0" fontId="0" fillId="0" borderId="19" xfId="0" applyBorder="1" applyAlignment="1">
      <alignment vertical="top" wrapText="1"/>
    </xf>
    <xf numFmtId="0" fontId="0" fillId="0" borderId="15" xfId="0" applyBorder="1" applyAlignment="1">
      <alignment vertical="top" wrapText="1"/>
    </xf>
    <xf numFmtId="0" fontId="0" fillId="0" borderId="4" xfId="0" applyBorder="1" applyAlignment="1">
      <alignment vertical="top" wrapText="1"/>
    </xf>
    <xf numFmtId="0" fontId="0" fillId="0" borderId="0" xfId="0" applyAlignment="1">
      <alignment vertical="top" wrapText="1"/>
    </xf>
    <xf numFmtId="0" fontId="0" fillId="0" borderId="16"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0" fillId="0" borderId="17" xfId="0" applyBorder="1" applyAlignment="1">
      <alignment vertical="top" wrapText="1"/>
    </xf>
    <xf numFmtId="0" fontId="0" fillId="5" borderId="8" xfId="0" applyFill="1" applyBorder="1" applyAlignment="1">
      <alignment horizontal="center" vertical="center"/>
    </xf>
    <xf numFmtId="0" fontId="0" fillId="5" borderId="6" xfId="0" applyFill="1" applyBorder="1" applyAlignment="1">
      <alignment horizontal="center" vertical="center"/>
    </xf>
    <xf numFmtId="0" fontId="0" fillId="5" borderId="9" xfId="0" applyFill="1" applyBorder="1" applyAlignment="1">
      <alignment horizontal="center" vertical="center"/>
    </xf>
    <xf numFmtId="0" fontId="0" fillId="5" borderId="20" xfId="0" applyFill="1" applyBorder="1" applyAlignment="1">
      <alignment horizontal="center" vertical="center"/>
    </xf>
    <xf numFmtId="182" fontId="0" fillId="0" borderId="8" xfId="0" applyNumberFormat="1" applyBorder="1" applyAlignment="1">
      <alignment horizontal="center" vertical="center"/>
    </xf>
    <xf numFmtId="183" fontId="0" fillId="0" borderId="8" xfId="0" applyNumberFormat="1" applyBorder="1" applyAlignment="1">
      <alignment horizontal="center" vertical="center"/>
    </xf>
    <xf numFmtId="184" fontId="0" fillId="0" borderId="8" xfId="0" applyNumberFormat="1" applyBorder="1" applyAlignment="1">
      <alignment horizontal="center" vertical="center"/>
    </xf>
    <xf numFmtId="0" fontId="0" fillId="0" borderId="8" xfId="0" applyBorder="1" applyAlignment="1">
      <alignment horizontal="center" vertical="center"/>
    </xf>
    <xf numFmtId="0" fontId="0" fillId="0" borderId="27" xfId="0" applyBorder="1" applyAlignment="1">
      <alignment horizontal="center" vertical="center"/>
    </xf>
    <xf numFmtId="0" fontId="17" fillId="4" borderId="28"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15" xfId="0" applyFont="1" applyFill="1" applyBorder="1" applyAlignment="1">
      <alignment horizontal="center" vertical="center"/>
    </xf>
    <xf numFmtId="0" fontId="0" fillId="4" borderId="29" xfId="0" applyFill="1" applyBorder="1" applyAlignment="1">
      <alignment horizontal="center" vertical="center"/>
    </xf>
    <xf numFmtId="0" fontId="0" fillId="4" borderId="17" xfId="0" applyFill="1" applyBorder="1" applyAlignment="1">
      <alignment horizontal="center" vertical="center"/>
    </xf>
    <xf numFmtId="41" fontId="0" fillId="0" borderId="36" xfId="1" applyFont="1" applyBorder="1" applyAlignment="1">
      <alignment horizontal="center" vertical="center"/>
    </xf>
    <xf numFmtId="180" fontId="0" fillId="0" borderId="36" xfId="1" applyNumberFormat="1" applyFont="1" applyBorder="1" applyAlignment="1">
      <alignment horizontal="center" vertical="center"/>
    </xf>
    <xf numFmtId="181" fontId="0" fillId="0" borderId="36" xfId="1" applyNumberFormat="1" applyFont="1" applyBorder="1" applyAlignment="1">
      <alignment horizontal="center" vertical="center"/>
    </xf>
    <xf numFmtId="181" fontId="0" fillId="0" borderId="39" xfId="1" applyNumberFormat="1" applyFont="1" applyBorder="1" applyAlignment="1">
      <alignment horizontal="center" vertical="center"/>
    </xf>
    <xf numFmtId="0" fontId="0" fillId="0" borderId="28" xfId="0" applyBorder="1" applyAlignment="1">
      <alignment vertical="top"/>
    </xf>
    <xf numFmtId="0" fontId="0" fillId="0" borderId="8" xfId="0" applyBorder="1" applyAlignment="1">
      <alignment vertical="top"/>
    </xf>
    <xf numFmtId="0" fontId="0" fillId="0" borderId="24" xfId="0" applyBorder="1" applyAlignment="1">
      <alignment vertical="top"/>
    </xf>
    <xf numFmtId="0" fontId="0" fillId="0" borderId="25" xfId="0" applyBorder="1" applyAlignment="1">
      <alignment vertical="top"/>
    </xf>
    <xf numFmtId="0" fontId="0" fillId="0" borderId="8" xfId="0" applyBorder="1">
      <alignment vertical="center"/>
    </xf>
    <xf numFmtId="0" fontId="0" fillId="0" borderId="25" xfId="0" applyBorder="1">
      <alignment vertical="center"/>
    </xf>
    <xf numFmtId="0" fontId="0" fillId="0" borderId="27" xfId="0" applyBorder="1">
      <alignment vertical="center"/>
    </xf>
    <xf numFmtId="0" fontId="0" fillId="0" borderId="26" xfId="0" applyBorder="1">
      <alignment vertical="center"/>
    </xf>
    <xf numFmtId="0" fontId="0" fillId="0" borderId="0" xfId="0" applyAlignment="1">
      <alignment horizontal="left" vertical="center"/>
    </xf>
    <xf numFmtId="0" fontId="7" fillId="3" borderId="30" xfId="0" applyFont="1" applyFill="1" applyBorder="1" applyAlignment="1">
      <alignment horizontal="left" vertical="center" wrapText="1"/>
    </xf>
    <xf numFmtId="41" fontId="7" fillId="3" borderId="31" xfId="1" applyFont="1" applyFill="1" applyBorder="1" applyAlignment="1">
      <alignment horizontal="left" vertical="center" wrapText="1"/>
    </xf>
    <xf numFmtId="41" fontId="7" fillId="3" borderId="32" xfId="1" applyFont="1" applyFill="1" applyBorder="1" applyAlignment="1">
      <alignment horizontal="left" vertical="center" wrapText="1"/>
    </xf>
    <xf numFmtId="41" fontId="7" fillId="3" borderId="33" xfId="1" applyFont="1" applyFill="1" applyBorder="1" applyAlignment="1">
      <alignment horizontal="left" vertical="center" wrapText="1"/>
    </xf>
    <xf numFmtId="14" fontId="5" fillId="0" borderId="42" xfId="0" applyNumberFormat="1" applyFont="1" applyBorder="1">
      <alignment vertical="center"/>
    </xf>
    <xf numFmtId="14" fontId="5" fillId="0" borderId="43" xfId="0" applyNumberFormat="1" applyFont="1" applyBorder="1">
      <alignment vertical="center"/>
    </xf>
    <xf numFmtId="14" fontId="5" fillId="0" borderId="44" xfId="0" applyNumberFormat="1" applyFont="1" applyBorder="1">
      <alignment vertical="center"/>
    </xf>
    <xf numFmtId="0" fontId="45" fillId="0" borderId="8" xfId="0" applyFont="1" applyBorder="1" applyAlignment="1">
      <alignment horizontal="left" vertical="center" wrapText="1" indent="1"/>
    </xf>
    <xf numFmtId="0" fontId="45" fillId="0" borderId="27" xfId="0" applyFont="1" applyBorder="1" applyAlignment="1">
      <alignment horizontal="left" vertical="center" wrapText="1" indent="1"/>
    </xf>
    <xf numFmtId="14" fontId="45" fillId="0" borderId="8" xfId="0" applyNumberFormat="1" applyFont="1" applyBorder="1" applyAlignment="1">
      <alignment horizontal="left" vertical="center" wrapText="1" indent="1"/>
    </xf>
    <xf numFmtId="14" fontId="45" fillId="0" borderId="27" xfId="0" applyNumberFormat="1" applyFont="1" applyBorder="1" applyAlignment="1">
      <alignment horizontal="left" vertical="center" wrapText="1" indent="1"/>
    </xf>
    <xf numFmtId="14" fontId="45" fillId="0" borderId="25" xfId="0" applyNumberFormat="1" applyFont="1" applyBorder="1" applyAlignment="1">
      <alignment horizontal="left" vertical="center" wrapText="1" indent="1"/>
    </xf>
    <xf numFmtId="14" fontId="45" fillId="0" borderId="26" xfId="0" applyNumberFormat="1" applyFont="1" applyBorder="1" applyAlignment="1">
      <alignment horizontal="left" vertical="center" wrapText="1" indent="1"/>
    </xf>
    <xf numFmtId="0" fontId="25" fillId="0" borderId="8" xfId="5" applyFont="1" applyBorder="1" applyAlignment="1" applyProtection="1">
      <alignment horizontal="center" vertical="center"/>
      <protection locked="0"/>
    </xf>
    <xf numFmtId="0" fontId="21" fillId="0" borderId="8" xfId="5" applyFont="1" applyBorder="1" applyAlignment="1" applyProtection="1">
      <alignment horizontal="center" vertical="center"/>
      <protection locked="0"/>
    </xf>
  </cellXfs>
  <cellStyles count="10">
    <cellStyle name="백분율" xfId="8" builtinId="5"/>
    <cellStyle name="쉼표 [0]" xfId="1" builtinId="6"/>
    <cellStyle name="표준" xfId="0" builtinId="0"/>
    <cellStyle name="표준 10" xfId="9" xr:uid="{682C320D-7802-498C-94F6-4D3CF4DDBC16}"/>
    <cellStyle name="표준 2" xfId="7" xr:uid="{0EF4F004-1FC5-4AA9-B858-383218FE7C34}"/>
    <cellStyle name="표준 2 2" xfId="2" xr:uid="{CBD3CF1E-2C3D-4A33-8A9E-1197B7C8A8BB}"/>
    <cellStyle name="표준 2 3" xfId="4" xr:uid="{9F342637-EFA0-404D-A250-E9155EACE2C1}"/>
    <cellStyle name="표준_수정검토서(양식_081112)" xfId="3" xr:uid="{8EF0DDA2-298C-4D93-8C68-401E2EBF98C6}"/>
    <cellStyle name="표준_조립도 검토양식" xfId="6" xr:uid="{936BB76C-E492-458C-B03C-30600CD6DDAC}"/>
    <cellStyle name="표준_조립도 검토양식 2" xfId="5" xr:uid="{F2FDBABC-4892-4DFA-A254-E780C10720C0}"/>
  </cellStyles>
  <dxfs count="81">
    <dxf>
      <font>
        <color theme="0"/>
      </font>
    </dxf>
    <dxf>
      <font>
        <color theme="0"/>
      </font>
    </dxf>
    <dxf>
      <font>
        <color theme="0"/>
      </font>
    </dxf>
    <dxf>
      <font>
        <color theme="0"/>
      </font>
    </dxf>
    <dxf>
      <font>
        <color theme="0"/>
      </font>
    </dxf>
    <dxf>
      <font>
        <color rgb="FF9C0006"/>
      </font>
      <fill>
        <patternFill>
          <bgColor rgb="FFFFC7CE"/>
        </patternFill>
      </fill>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fill>
        <patternFill patternType="solid">
          <fgColor indexed="64"/>
          <bgColor theme="3" tint="0.89999084444715716"/>
        </patternFill>
      </fill>
    </dxf>
    <dxf>
      <numFmt numFmtId="0" formatCode="General"/>
      <fill>
        <patternFill patternType="solid">
          <fgColor indexed="64"/>
          <bgColor theme="3" tint="0.89999084444715716"/>
        </patternFill>
      </fill>
    </dxf>
    <dxf>
      <numFmt numFmtId="0" formatCode="General"/>
      <fill>
        <patternFill patternType="solid">
          <fgColor indexed="64"/>
          <bgColor theme="3" tint="0.89999084444715716"/>
        </patternFill>
      </fill>
    </dxf>
    <dxf>
      <numFmt numFmtId="0" formatCode="General"/>
      <fill>
        <patternFill patternType="solid">
          <fgColor indexed="64"/>
          <bgColor theme="3" tint="0.89999084444715716"/>
        </patternFill>
      </fill>
    </dxf>
    <dxf>
      <numFmt numFmtId="0" formatCode="General"/>
      <fill>
        <patternFill patternType="solid">
          <fgColor indexed="64"/>
          <bgColor theme="3" tint="0.89999084444715716"/>
        </patternFill>
      </fill>
    </dxf>
    <dxf>
      <numFmt numFmtId="19" formatCode="yyyy/mm/dd"/>
      <fill>
        <patternFill patternType="solid">
          <fgColor indexed="64"/>
          <bgColor theme="3" tint="0.89999084444715716"/>
        </patternFill>
      </fill>
    </dxf>
    <dxf>
      <numFmt numFmtId="0" formatCode="General"/>
      <fill>
        <patternFill patternType="solid">
          <fgColor indexed="64"/>
          <bgColor theme="3" tint="0.89999084444715716"/>
        </patternFill>
      </fill>
    </dxf>
    <dxf>
      <numFmt numFmtId="33" formatCode="_-* #,##0_-;\-* #,##0_-;_-* &quot;-&quot;_-;_-@_-"/>
      <fill>
        <patternFill patternType="solid">
          <fgColor indexed="64"/>
          <bgColor theme="3" tint="0.89999084444715716"/>
        </patternFill>
      </fill>
    </dxf>
    <dxf>
      <font>
        <b val="0"/>
        <i val="0"/>
        <strike val="0"/>
        <condense val="0"/>
        <extend val="0"/>
        <outline val="0"/>
        <shadow val="0"/>
        <u val="none"/>
        <vertAlign val="baseline"/>
        <sz val="11"/>
        <color theme="1"/>
        <name val="맑은 고딕"/>
        <family val="2"/>
        <charset val="129"/>
        <scheme val="minor"/>
      </font>
      <numFmt numFmtId="33" formatCode="_-* #,##0_-;\-* #,##0_-;_-* &quot;-&quot;_-;_-@_-"/>
    </dxf>
    <dxf>
      <font>
        <b/>
        <i val="0"/>
        <strike val="0"/>
        <condense val="0"/>
        <extend val="0"/>
        <outline val="0"/>
        <shadow val="0"/>
        <u val="none"/>
        <vertAlign val="baseline"/>
        <sz val="11"/>
        <color theme="1"/>
        <name val="맑은 고딕"/>
        <family val="3"/>
        <charset val="129"/>
        <scheme val="minor"/>
      </font>
      <numFmt numFmtId="0" formatCode="General"/>
    </dxf>
    <dxf>
      <numFmt numFmtId="177" formatCode="0.0"/>
    </dxf>
    <dxf>
      <fill>
        <patternFill patternType="none">
          <fgColor indexed="64"/>
          <bgColor auto="1"/>
        </patternFill>
      </fill>
    </dxf>
    <dxf>
      <numFmt numFmtId="19" formatCode="yyyy/mm/dd"/>
      <fill>
        <patternFill patternType="none">
          <fgColor indexed="64"/>
          <bgColor auto="1"/>
        </patternFill>
      </fill>
    </dxf>
    <dxf>
      <font>
        <b/>
        <family val="3"/>
      </font>
      <fill>
        <patternFill patternType="solid">
          <fgColor indexed="64"/>
          <bgColor theme="3" tint="0.89999084444715716"/>
        </patternFill>
      </fill>
    </dxf>
    <dxf>
      <numFmt numFmtId="0" formatCode="General"/>
      <fill>
        <patternFill patternType="solid">
          <fgColor indexed="64"/>
          <bgColor theme="3" tint="0.89999084444715716"/>
        </patternFill>
      </fill>
    </dxf>
    <dxf>
      <numFmt numFmtId="0" formatCode="General"/>
      <fill>
        <patternFill patternType="solid">
          <fgColor indexed="64"/>
          <bgColor theme="3" tint="0.89999084444715716"/>
        </patternFill>
      </fill>
    </dxf>
    <dxf>
      <fill>
        <patternFill patternType="solid">
          <fgColor indexed="64"/>
          <bgColor theme="3" tint="0.89999084444715716"/>
        </patternFill>
      </fill>
    </dxf>
    <dxf>
      <font>
        <strike val="0"/>
        <outline val="0"/>
        <shadow val="0"/>
        <u val="none"/>
        <vertAlign val="baseline"/>
        <sz val="14"/>
        <color auto="1"/>
        <name val="맑은 고딕"/>
        <family val="3"/>
        <charset val="129"/>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styles" Target="styles.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22/10/relationships/richValueRel" Target="richData/richValueRel.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connections" Target="connections.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microsoft.com/office/2017/06/relationships/rdRichValueStructure" Target="richData/rdrichvaluestructure.xml"/><Relationship Id="rId28" Type="http://schemas.microsoft.com/office/2006/relationships/vbaProject" Target="vbaProject.bin"/><Relationship Id="rId10" Type="http://schemas.openxmlformats.org/officeDocument/2006/relationships/externalLink" Target="externalLinks/externalLink2.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microsoft.com/office/2017/06/relationships/rdRichValue" Target="richData/rdrichvalue.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476250</xdr:colOff>
          <xdr:row>0</xdr:row>
          <xdr:rowOff>219075</xdr:rowOff>
        </xdr:from>
        <xdr:to>
          <xdr:col>2</xdr:col>
          <xdr:colOff>1581150</xdr:colOff>
          <xdr:row>0</xdr:row>
          <xdr:rowOff>809625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실험의뢰_장진영 새로고침 버튼</a:t>
              </a:r>
            </a:p>
          </xdr:txBody>
        </xdr:sp>
        <xdr:clientData fPrintsWithSheet="0"/>
      </xdr:twoCellAnchor>
    </mc:Choice>
    <mc:Fallback/>
  </mc:AlternateContent>
  <xdr:twoCellAnchor editAs="oneCell">
    <xdr:from>
      <xdr:col>10</xdr:col>
      <xdr:colOff>97970</xdr:colOff>
      <xdr:row>252</xdr:row>
      <xdr:rowOff>217715</xdr:rowOff>
    </xdr:from>
    <xdr:to>
      <xdr:col>12</xdr:col>
      <xdr:colOff>3836250</xdr:colOff>
      <xdr:row>257</xdr:row>
      <xdr:rowOff>196909</xdr:rowOff>
    </xdr:to>
    <xdr:pic>
      <xdr:nvPicPr>
        <xdr:cNvPr id="2" name="그림 1">
          <a:extLst>
            <a:ext uri="{FF2B5EF4-FFF2-40B4-BE49-F238E27FC236}">
              <a16:creationId xmlns:a16="http://schemas.microsoft.com/office/drawing/2014/main" id="{92C50E2A-9A54-4F14-8ED8-345FFE1A49C6}"/>
            </a:ext>
          </a:extLst>
        </xdr:cNvPr>
        <xdr:cNvPicPr>
          <a:picLocks noChangeAspect="1"/>
        </xdr:cNvPicPr>
      </xdr:nvPicPr>
      <xdr:blipFill>
        <a:blip xmlns:r="http://schemas.openxmlformats.org/officeDocument/2006/relationships" r:embed="rId1"/>
        <a:stretch>
          <a:fillRect/>
        </a:stretch>
      </xdr:blipFill>
      <xdr:spPr>
        <a:xfrm>
          <a:off x="17985920" y="96356715"/>
          <a:ext cx="7941980" cy="1065044"/>
        </a:xfrm>
        <a:prstGeom prst="rect">
          <a:avLst/>
        </a:prstGeom>
      </xdr:spPr>
    </xdr:pic>
    <xdr:clientData/>
  </xdr:twoCellAnchor>
  <xdr:twoCellAnchor>
    <xdr:from>
      <xdr:col>3</xdr:col>
      <xdr:colOff>1208314</xdr:colOff>
      <xdr:row>270</xdr:row>
      <xdr:rowOff>21771</xdr:rowOff>
    </xdr:from>
    <xdr:to>
      <xdr:col>3</xdr:col>
      <xdr:colOff>4049486</xdr:colOff>
      <xdr:row>276</xdr:row>
      <xdr:rowOff>228600</xdr:rowOff>
    </xdr:to>
    <xdr:sp macro="" textlink="">
      <xdr:nvSpPr>
        <xdr:cNvPr id="3" name="TextBox 2">
          <a:extLst>
            <a:ext uri="{FF2B5EF4-FFF2-40B4-BE49-F238E27FC236}">
              <a16:creationId xmlns:a16="http://schemas.microsoft.com/office/drawing/2014/main" id="{C85F0147-6560-4A90-847B-A50FBF6F19C1}"/>
            </a:ext>
          </a:extLst>
        </xdr:cNvPr>
        <xdr:cNvSpPr txBox="1"/>
      </xdr:nvSpPr>
      <xdr:spPr>
        <a:xfrm>
          <a:off x="7780564" y="103018771"/>
          <a:ext cx="2841172" cy="249282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400"/>
            <a:t>MB</a:t>
          </a:r>
          <a:r>
            <a:rPr lang="ko-KR" altLang="en-US" sz="1400"/>
            <a:t>대로 사출해주시고 사출에 문제없으면 후가공할 수 있도록 수량찍어주셔서 후가공 보낼 수 있도록 해주세요</a:t>
          </a:r>
          <a:endParaRPr lang="en-US" altLang="ko-KR" sz="1400"/>
        </a:p>
        <a:p>
          <a:r>
            <a:rPr lang="ko-KR" altLang="en-US" sz="1400"/>
            <a:t>시사출 보고서 작성해서 공유해야 합니다</a:t>
          </a:r>
          <a:r>
            <a:rPr lang="en-US" altLang="ko-KR" sz="1400"/>
            <a:t>.</a:t>
          </a:r>
          <a:endParaRPr lang="ko-KR" altLang="en-US" sz="1400"/>
        </a:p>
      </xdr:txBody>
    </xdr:sp>
    <xdr:clientData/>
  </xdr:twoCellAnchor>
  <xdr:twoCellAnchor editAs="oneCell">
    <xdr:from>
      <xdr:col>10</xdr:col>
      <xdr:colOff>97970</xdr:colOff>
      <xdr:row>252</xdr:row>
      <xdr:rowOff>217715</xdr:rowOff>
    </xdr:from>
    <xdr:to>
      <xdr:col>12</xdr:col>
      <xdr:colOff>3836250</xdr:colOff>
      <xdr:row>257</xdr:row>
      <xdr:rowOff>196909</xdr:rowOff>
    </xdr:to>
    <xdr:pic>
      <xdr:nvPicPr>
        <xdr:cNvPr id="4" name="그림 3">
          <a:extLst>
            <a:ext uri="{FF2B5EF4-FFF2-40B4-BE49-F238E27FC236}">
              <a16:creationId xmlns:a16="http://schemas.microsoft.com/office/drawing/2014/main" id="{66250E19-B772-485A-A067-07AEF49AB5FF}"/>
            </a:ext>
          </a:extLst>
        </xdr:cNvPr>
        <xdr:cNvPicPr>
          <a:picLocks noChangeAspect="1"/>
        </xdr:cNvPicPr>
      </xdr:nvPicPr>
      <xdr:blipFill>
        <a:blip xmlns:r="http://schemas.openxmlformats.org/officeDocument/2006/relationships" r:embed="rId1"/>
        <a:stretch>
          <a:fillRect/>
        </a:stretch>
      </xdr:blipFill>
      <xdr:spPr>
        <a:xfrm>
          <a:off x="17985920" y="96356715"/>
          <a:ext cx="7941980" cy="1065044"/>
        </a:xfrm>
        <a:prstGeom prst="rect">
          <a:avLst/>
        </a:prstGeom>
      </xdr:spPr>
    </xdr:pic>
    <xdr:clientData/>
  </xdr:twoCellAnchor>
  <xdr:twoCellAnchor>
    <xdr:from>
      <xdr:col>3</xdr:col>
      <xdr:colOff>1208314</xdr:colOff>
      <xdr:row>270</xdr:row>
      <xdr:rowOff>21771</xdr:rowOff>
    </xdr:from>
    <xdr:to>
      <xdr:col>3</xdr:col>
      <xdr:colOff>4049486</xdr:colOff>
      <xdr:row>276</xdr:row>
      <xdr:rowOff>228600</xdr:rowOff>
    </xdr:to>
    <xdr:sp macro="" textlink="">
      <xdr:nvSpPr>
        <xdr:cNvPr id="5" name="TextBox 4">
          <a:extLst>
            <a:ext uri="{FF2B5EF4-FFF2-40B4-BE49-F238E27FC236}">
              <a16:creationId xmlns:a16="http://schemas.microsoft.com/office/drawing/2014/main" id="{CF00D539-328A-429E-B119-2FE88E4F4BDC}"/>
            </a:ext>
          </a:extLst>
        </xdr:cNvPr>
        <xdr:cNvSpPr txBox="1"/>
      </xdr:nvSpPr>
      <xdr:spPr>
        <a:xfrm>
          <a:off x="7780564" y="103018771"/>
          <a:ext cx="2841172" cy="249282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400"/>
            <a:t>MB</a:t>
          </a:r>
          <a:r>
            <a:rPr lang="ko-KR" altLang="en-US" sz="1400"/>
            <a:t>대로 사출해주시고 사출에 문제없으면 후가공할 수 있도록 수량찍어주셔서 후가공 보낼 수 있도록 해주세요</a:t>
          </a:r>
          <a:endParaRPr lang="en-US" altLang="ko-KR" sz="1400"/>
        </a:p>
        <a:p>
          <a:r>
            <a:rPr lang="ko-KR" altLang="en-US" sz="1400"/>
            <a:t>시사출 보고서 작성해서 공유해야 합니다</a:t>
          </a:r>
          <a:r>
            <a:rPr lang="en-US" altLang="ko-KR" sz="1400"/>
            <a:t>.</a:t>
          </a:r>
          <a:endParaRPr lang="ko-KR" altLang="en-US" sz="1400"/>
        </a:p>
      </xdr:txBody>
    </xdr:sp>
    <xdr:clientData/>
  </xdr:twoCellAnchor>
  <xdr:twoCellAnchor editAs="oneCell">
    <xdr:from>
      <xdr:col>10</xdr:col>
      <xdr:colOff>97970</xdr:colOff>
      <xdr:row>253</xdr:row>
      <xdr:rowOff>217715</xdr:rowOff>
    </xdr:from>
    <xdr:to>
      <xdr:col>12</xdr:col>
      <xdr:colOff>3836250</xdr:colOff>
      <xdr:row>258</xdr:row>
      <xdr:rowOff>196909</xdr:rowOff>
    </xdr:to>
    <xdr:pic>
      <xdr:nvPicPr>
        <xdr:cNvPr id="6" name="그림 5">
          <a:extLst>
            <a:ext uri="{FF2B5EF4-FFF2-40B4-BE49-F238E27FC236}">
              <a16:creationId xmlns:a16="http://schemas.microsoft.com/office/drawing/2014/main" id="{24ED8A11-3F04-43DF-BE10-C7182770FF68}"/>
            </a:ext>
          </a:extLst>
        </xdr:cNvPr>
        <xdr:cNvPicPr>
          <a:picLocks noChangeAspect="1"/>
        </xdr:cNvPicPr>
      </xdr:nvPicPr>
      <xdr:blipFill>
        <a:blip xmlns:r="http://schemas.openxmlformats.org/officeDocument/2006/relationships" r:embed="rId1"/>
        <a:stretch>
          <a:fillRect/>
        </a:stretch>
      </xdr:blipFill>
      <xdr:spPr>
        <a:xfrm>
          <a:off x="17985920" y="96356715"/>
          <a:ext cx="7941980" cy="1065044"/>
        </a:xfrm>
        <a:prstGeom prst="rect">
          <a:avLst/>
        </a:prstGeom>
      </xdr:spPr>
    </xdr:pic>
    <xdr:clientData/>
  </xdr:twoCellAnchor>
  <xdr:twoCellAnchor>
    <xdr:from>
      <xdr:col>3</xdr:col>
      <xdr:colOff>1208314</xdr:colOff>
      <xdr:row>271</xdr:row>
      <xdr:rowOff>21771</xdr:rowOff>
    </xdr:from>
    <xdr:to>
      <xdr:col>3</xdr:col>
      <xdr:colOff>4049486</xdr:colOff>
      <xdr:row>277</xdr:row>
      <xdr:rowOff>228600</xdr:rowOff>
    </xdr:to>
    <xdr:sp macro="" textlink="">
      <xdr:nvSpPr>
        <xdr:cNvPr id="7" name="TextBox 6">
          <a:extLst>
            <a:ext uri="{FF2B5EF4-FFF2-40B4-BE49-F238E27FC236}">
              <a16:creationId xmlns:a16="http://schemas.microsoft.com/office/drawing/2014/main" id="{3154E22A-7B53-4971-8683-A1924520BB15}"/>
            </a:ext>
          </a:extLst>
        </xdr:cNvPr>
        <xdr:cNvSpPr txBox="1"/>
      </xdr:nvSpPr>
      <xdr:spPr>
        <a:xfrm>
          <a:off x="7780564" y="103018771"/>
          <a:ext cx="2841172" cy="249282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400"/>
            <a:t>MB</a:t>
          </a:r>
          <a:r>
            <a:rPr lang="ko-KR" altLang="en-US" sz="1400"/>
            <a:t>대로 사출해주시고 사출에 문제없으면 후가공할 수 있도록 수량찍어주셔서 후가공 보낼 수 있도록 해주세요</a:t>
          </a:r>
          <a:endParaRPr lang="en-US" altLang="ko-KR" sz="1400"/>
        </a:p>
        <a:p>
          <a:r>
            <a:rPr lang="ko-KR" altLang="en-US" sz="1400"/>
            <a:t>시사출 보고서 작성해서 공유해야 합니다</a:t>
          </a:r>
          <a:r>
            <a:rPr lang="en-US" altLang="ko-KR" sz="1400"/>
            <a:t>.</a:t>
          </a:r>
          <a:endParaRPr lang="ko-KR" altLang="en-US" sz="1400"/>
        </a:p>
      </xdr:txBody>
    </xdr:sp>
    <xdr:clientData/>
  </xdr:twoCellAnchor>
  <xdr:twoCellAnchor editAs="oneCell">
    <xdr:from>
      <xdr:col>10</xdr:col>
      <xdr:colOff>97970</xdr:colOff>
      <xdr:row>253</xdr:row>
      <xdr:rowOff>217715</xdr:rowOff>
    </xdr:from>
    <xdr:to>
      <xdr:col>12</xdr:col>
      <xdr:colOff>3836250</xdr:colOff>
      <xdr:row>258</xdr:row>
      <xdr:rowOff>196909</xdr:rowOff>
    </xdr:to>
    <xdr:pic>
      <xdr:nvPicPr>
        <xdr:cNvPr id="8" name="그림 7">
          <a:extLst>
            <a:ext uri="{FF2B5EF4-FFF2-40B4-BE49-F238E27FC236}">
              <a16:creationId xmlns:a16="http://schemas.microsoft.com/office/drawing/2014/main" id="{21E5C86A-76B2-4343-A6F5-689BBDACF87A}"/>
            </a:ext>
          </a:extLst>
        </xdr:cNvPr>
        <xdr:cNvPicPr>
          <a:picLocks noChangeAspect="1"/>
        </xdr:cNvPicPr>
      </xdr:nvPicPr>
      <xdr:blipFill>
        <a:blip xmlns:r="http://schemas.openxmlformats.org/officeDocument/2006/relationships" r:embed="rId1"/>
        <a:stretch>
          <a:fillRect/>
        </a:stretch>
      </xdr:blipFill>
      <xdr:spPr>
        <a:xfrm>
          <a:off x="17985920" y="96356715"/>
          <a:ext cx="7941980" cy="1065044"/>
        </a:xfrm>
        <a:prstGeom prst="rect">
          <a:avLst/>
        </a:prstGeom>
      </xdr:spPr>
    </xdr:pic>
    <xdr:clientData/>
  </xdr:twoCellAnchor>
  <xdr:twoCellAnchor>
    <xdr:from>
      <xdr:col>3</xdr:col>
      <xdr:colOff>1208314</xdr:colOff>
      <xdr:row>271</xdr:row>
      <xdr:rowOff>21771</xdr:rowOff>
    </xdr:from>
    <xdr:to>
      <xdr:col>3</xdr:col>
      <xdr:colOff>4049486</xdr:colOff>
      <xdr:row>277</xdr:row>
      <xdr:rowOff>228600</xdr:rowOff>
    </xdr:to>
    <xdr:sp macro="" textlink="">
      <xdr:nvSpPr>
        <xdr:cNvPr id="9" name="TextBox 8">
          <a:extLst>
            <a:ext uri="{FF2B5EF4-FFF2-40B4-BE49-F238E27FC236}">
              <a16:creationId xmlns:a16="http://schemas.microsoft.com/office/drawing/2014/main" id="{B50D3583-CAE4-489A-931C-47967F6AA9F3}"/>
            </a:ext>
          </a:extLst>
        </xdr:cNvPr>
        <xdr:cNvSpPr txBox="1"/>
      </xdr:nvSpPr>
      <xdr:spPr>
        <a:xfrm>
          <a:off x="7780564" y="103018771"/>
          <a:ext cx="2841172" cy="249282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400"/>
            <a:t>MB</a:t>
          </a:r>
          <a:r>
            <a:rPr lang="ko-KR" altLang="en-US" sz="1400"/>
            <a:t>대로 사출해주시고 사출에 문제없으면 후가공할 수 있도록 수량찍어주셔서 후가공 보낼 수 있도록 해주세요</a:t>
          </a:r>
          <a:endParaRPr lang="en-US" altLang="ko-KR" sz="1400"/>
        </a:p>
        <a:p>
          <a:r>
            <a:rPr lang="ko-KR" altLang="en-US" sz="1400"/>
            <a:t>시사출 보고서 작성해서 공유해야 합니다</a:t>
          </a:r>
          <a:r>
            <a:rPr lang="en-US" altLang="ko-KR" sz="1400"/>
            <a:t>.</a:t>
          </a:r>
          <a:endParaRPr lang="ko-KR" altLang="en-US" sz="1400"/>
        </a:p>
      </xdr:txBody>
    </xdr:sp>
    <xdr:clientData/>
  </xdr:twoCellAnchor>
  <xdr:twoCellAnchor editAs="oneCell">
    <xdr:from>
      <xdr:col>10</xdr:col>
      <xdr:colOff>97970</xdr:colOff>
      <xdr:row>253</xdr:row>
      <xdr:rowOff>217715</xdr:rowOff>
    </xdr:from>
    <xdr:to>
      <xdr:col>12</xdr:col>
      <xdr:colOff>3836250</xdr:colOff>
      <xdr:row>258</xdr:row>
      <xdr:rowOff>196909</xdr:rowOff>
    </xdr:to>
    <xdr:pic>
      <xdr:nvPicPr>
        <xdr:cNvPr id="10" name="그림 9">
          <a:extLst>
            <a:ext uri="{FF2B5EF4-FFF2-40B4-BE49-F238E27FC236}">
              <a16:creationId xmlns:a16="http://schemas.microsoft.com/office/drawing/2014/main" id="{BC41F662-92B9-4BD3-B505-7F4684C37E65}"/>
            </a:ext>
          </a:extLst>
        </xdr:cNvPr>
        <xdr:cNvPicPr>
          <a:picLocks noChangeAspect="1"/>
        </xdr:cNvPicPr>
      </xdr:nvPicPr>
      <xdr:blipFill>
        <a:blip xmlns:r="http://schemas.openxmlformats.org/officeDocument/2006/relationships" r:embed="rId1"/>
        <a:stretch>
          <a:fillRect/>
        </a:stretch>
      </xdr:blipFill>
      <xdr:spPr>
        <a:xfrm>
          <a:off x="17985920" y="96356715"/>
          <a:ext cx="7941980" cy="1065044"/>
        </a:xfrm>
        <a:prstGeom prst="rect">
          <a:avLst/>
        </a:prstGeom>
      </xdr:spPr>
    </xdr:pic>
    <xdr:clientData/>
  </xdr:twoCellAnchor>
  <xdr:twoCellAnchor>
    <xdr:from>
      <xdr:col>3</xdr:col>
      <xdr:colOff>1208314</xdr:colOff>
      <xdr:row>271</xdr:row>
      <xdr:rowOff>21771</xdr:rowOff>
    </xdr:from>
    <xdr:to>
      <xdr:col>3</xdr:col>
      <xdr:colOff>4049486</xdr:colOff>
      <xdr:row>277</xdr:row>
      <xdr:rowOff>228600</xdr:rowOff>
    </xdr:to>
    <xdr:sp macro="" textlink="">
      <xdr:nvSpPr>
        <xdr:cNvPr id="11" name="TextBox 10">
          <a:extLst>
            <a:ext uri="{FF2B5EF4-FFF2-40B4-BE49-F238E27FC236}">
              <a16:creationId xmlns:a16="http://schemas.microsoft.com/office/drawing/2014/main" id="{69333323-E469-455A-94EF-830FE8548B6E}"/>
            </a:ext>
          </a:extLst>
        </xdr:cNvPr>
        <xdr:cNvSpPr txBox="1"/>
      </xdr:nvSpPr>
      <xdr:spPr>
        <a:xfrm>
          <a:off x="7780564" y="103018771"/>
          <a:ext cx="2841172" cy="249282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400"/>
            <a:t>MB</a:t>
          </a:r>
          <a:r>
            <a:rPr lang="ko-KR" altLang="en-US" sz="1400"/>
            <a:t>대로 사출해주시고 사출에 문제없으면 후가공할 수 있도록 수량찍어주셔서 후가공 보낼 수 있도록 해주세요</a:t>
          </a:r>
          <a:endParaRPr lang="en-US" altLang="ko-KR" sz="1400"/>
        </a:p>
        <a:p>
          <a:r>
            <a:rPr lang="ko-KR" altLang="en-US" sz="1400"/>
            <a:t>시사출 보고서 작성해서 공유해야 합니다</a:t>
          </a:r>
          <a:r>
            <a:rPr lang="en-US" altLang="ko-KR" sz="1400"/>
            <a:t>.</a:t>
          </a:r>
          <a:endParaRPr lang="ko-KR" altLang="en-US" sz="1400"/>
        </a:p>
      </xdr:txBody>
    </xdr:sp>
    <xdr:clientData/>
  </xdr:twoCellAnchor>
  <xdr:twoCellAnchor editAs="oneCell">
    <xdr:from>
      <xdr:col>10</xdr:col>
      <xdr:colOff>97970</xdr:colOff>
      <xdr:row>253</xdr:row>
      <xdr:rowOff>217715</xdr:rowOff>
    </xdr:from>
    <xdr:to>
      <xdr:col>12</xdr:col>
      <xdr:colOff>3913720</xdr:colOff>
      <xdr:row>258</xdr:row>
      <xdr:rowOff>177859</xdr:rowOff>
    </xdr:to>
    <xdr:pic>
      <xdr:nvPicPr>
        <xdr:cNvPr id="12" name="그림 11">
          <a:extLst>
            <a:ext uri="{FF2B5EF4-FFF2-40B4-BE49-F238E27FC236}">
              <a16:creationId xmlns:a16="http://schemas.microsoft.com/office/drawing/2014/main" id="{5CF591A0-B6F6-4EAE-9B1D-7429AF43A2F7}"/>
            </a:ext>
          </a:extLst>
        </xdr:cNvPr>
        <xdr:cNvPicPr>
          <a:picLocks noChangeAspect="1"/>
        </xdr:cNvPicPr>
      </xdr:nvPicPr>
      <xdr:blipFill>
        <a:blip xmlns:r="http://schemas.openxmlformats.org/officeDocument/2006/relationships" r:embed="rId1"/>
        <a:stretch>
          <a:fillRect/>
        </a:stretch>
      </xdr:blipFill>
      <xdr:spPr>
        <a:xfrm>
          <a:off x="17997350" y="96359255"/>
          <a:ext cx="8014370" cy="1065044"/>
        </a:xfrm>
        <a:prstGeom prst="rect">
          <a:avLst/>
        </a:prstGeom>
      </xdr:spPr>
    </xdr:pic>
    <xdr:clientData/>
  </xdr:twoCellAnchor>
  <xdr:twoCellAnchor>
    <xdr:from>
      <xdr:col>3</xdr:col>
      <xdr:colOff>1208314</xdr:colOff>
      <xdr:row>271</xdr:row>
      <xdr:rowOff>21771</xdr:rowOff>
    </xdr:from>
    <xdr:to>
      <xdr:col>3</xdr:col>
      <xdr:colOff>4049486</xdr:colOff>
      <xdr:row>277</xdr:row>
      <xdr:rowOff>228600</xdr:rowOff>
    </xdr:to>
    <xdr:sp macro="" textlink="">
      <xdr:nvSpPr>
        <xdr:cNvPr id="13" name="TextBox 12">
          <a:extLst>
            <a:ext uri="{FF2B5EF4-FFF2-40B4-BE49-F238E27FC236}">
              <a16:creationId xmlns:a16="http://schemas.microsoft.com/office/drawing/2014/main" id="{5AAD5A9D-0421-48D1-B716-E4B2AAED5442}"/>
            </a:ext>
          </a:extLst>
        </xdr:cNvPr>
        <xdr:cNvSpPr txBox="1"/>
      </xdr:nvSpPr>
      <xdr:spPr>
        <a:xfrm>
          <a:off x="7784374" y="103021311"/>
          <a:ext cx="2841172" cy="249282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400"/>
            <a:t>MB</a:t>
          </a:r>
          <a:r>
            <a:rPr lang="ko-KR" altLang="en-US" sz="1400"/>
            <a:t>대로 사출해주시고 사출에 문제없으면 후가공할 수 있도록 수량찍어주셔서 후가공 보낼 수 있도록 해주세요</a:t>
          </a:r>
          <a:endParaRPr lang="en-US" altLang="ko-KR" sz="1400"/>
        </a:p>
        <a:p>
          <a:r>
            <a:rPr lang="ko-KR" altLang="en-US" sz="1400"/>
            <a:t>시사출 보고서 작성해서 공유해야 합니다</a:t>
          </a:r>
          <a:r>
            <a:rPr lang="en-US" altLang="ko-KR" sz="1400"/>
            <a:t>.</a:t>
          </a:r>
          <a:endParaRPr lang="ko-KR" altLang="en-US" sz="1400"/>
        </a:p>
      </xdr:txBody>
    </xdr:sp>
    <xdr:clientData/>
  </xdr:twoCellAnchor>
  <xdr:twoCellAnchor editAs="oneCell">
    <xdr:from>
      <xdr:col>10</xdr:col>
      <xdr:colOff>97970</xdr:colOff>
      <xdr:row>253</xdr:row>
      <xdr:rowOff>217715</xdr:rowOff>
    </xdr:from>
    <xdr:to>
      <xdr:col>12</xdr:col>
      <xdr:colOff>3836250</xdr:colOff>
      <xdr:row>258</xdr:row>
      <xdr:rowOff>196909</xdr:rowOff>
    </xdr:to>
    <xdr:pic>
      <xdr:nvPicPr>
        <xdr:cNvPr id="14" name="그림 13">
          <a:extLst>
            <a:ext uri="{FF2B5EF4-FFF2-40B4-BE49-F238E27FC236}">
              <a16:creationId xmlns:a16="http://schemas.microsoft.com/office/drawing/2014/main" id="{93FFEFC2-4122-4AE1-92FE-95EB00AF9D41}"/>
            </a:ext>
          </a:extLst>
        </xdr:cNvPr>
        <xdr:cNvPicPr>
          <a:picLocks noChangeAspect="1"/>
        </xdr:cNvPicPr>
      </xdr:nvPicPr>
      <xdr:blipFill>
        <a:blip xmlns:r="http://schemas.openxmlformats.org/officeDocument/2006/relationships" r:embed="rId1"/>
        <a:stretch>
          <a:fillRect/>
        </a:stretch>
      </xdr:blipFill>
      <xdr:spPr>
        <a:xfrm>
          <a:off x="18151020" y="96356715"/>
          <a:ext cx="7941980" cy="1065044"/>
        </a:xfrm>
        <a:prstGeom prst="rect">
          <a:avLst/>
        </a:prstGeom>
      </xdr:spPr>
    </xdr:pic>
    <xdr:clientData/>
  </xdr:twoCellAnchor>
  <xdr:twoCellAnchor>
    <xdr:from>
      <xdr:col>3</xdr:col>
      <xdr:colOff>1208314</xdr:colOff>
      <xdr:row>271</xdr:row>
      <xdr:rowOff>21771</xdr:rowOff>
    </xdr:from>
    <xdr:to>
      <xdr:col>3</xdr:col>
      <xdr:colOff>4049486</xdr:colOff>
      <xdr:row>277</xdr:row>
      <xdr:rowOff>228600</xdr:rowOff>
    </xdr:to>
    <xdr:sp macro="" textlink="">
      <xdr:nvSpPr>
        <xdr:cNvPr id="15" name="TextBox 14">
          <a:extLst>
            <a:ext uri="{FF2B5EF4-FFF2-40B4-BE49-F238E27FC236}">
              <a16:creationId xmlns:a16="http://schemas.microsoft.com/office/drawing/2014/main" id="{A2623A15-EBD3-4546-A223-AE7501239BA7}"/>
            </a:ext>
          </a:extLst>
        </xdr:cNvPr>
        <xdr:cNvSpPr txBox="1"/>
      </xdr:nvSpPr>
      <xdr:spPr>
        <a:xfrm>
          <a:off x="7863114" y="103018771"/>
          <a:ext cx="2841172" cy="249282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400"/>
            <a:t>MB</a:t>
          </a:r>
          <a:r>
            <a:rPr lang="ko-KR" altLang="en-US" sz="1400"/>
            <a:t>대로 사출해주시고 사출에 문제없으면 후가공할 수 있도록 수량찍어주셔서 후가공 보낼 수 있도록 해주세요</a:t>
          </a:r>
          <a:endParaRPr lang="en-US" altLang="ko-KR" sz="1400"/>
        </a:p>
        <a:p>
          <a:r>
            <a:rPr lang="ko-KR" altLang="en-US" sz="1400"/>
            <a:t>시사출 보고서 작성해서 공유해야 합니다</a:t>
          </a:r>
          <a:r>
            <a:rPr lang="en-US" altLang="ko-KR" sz="1400"/>
            <a:t>.</a:t>
          </a:r>
          <a:endParaRPr lang="ko-KR" altLang="en-US" sz="1400"/>
        </a:p>
      </xdr:txBody>
    </xdr:sp>
    <xdr:clientData/>
  </xdr:twoCellAnchor>
  <xdr:oneCellAnchor>
    <xdr:from>
      <xdr:col>3</xdr:col>
      <xdr:colOff>2209800</xdr:colOff>
      <xdr:row>341</xdr:row>
      <xdr:rowOff>293914</xdr:rowOff>
    </xdr:from>
    <xdr:ext cx="2394857" cy="914400"/>
    <xdr:sp macro="" textlink="">
      <xdr:nvSpPr>
        <xdr:cNvPr id="16" name="TextBox 15">
          <a:extLst>
            <a:ext uri="{FF2B5EF4-FFF2-40B4-BE49-F238E27FC236}">
              <a16:creationId xmlns:a16="http://schemas.microsoft.com/office/drawing/2014/main" id="{7D697A78-3E05-4E87-9C4D-11986F1529ED}"/>
            </a:ext>
          </a:extLst>
        </xdr:cNvPr>
        <xdr:cNvSpPr txBox="1"/>
      </xdr:nvSpPr>
      <xdr:spPr>
        <a:xfrm>
          <a:off x="8864600" y="130659414"/>
          <a:ext cx="2394857" cy="91440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ko-KR" altLang="en-US" sz="1100"/>
            <a:t>금형이 입고되는대로 진행 바랍니다</a:t>
          </a:r>
          <a:endParaRPr lang="en-US" altLang="ko-KR" sz="1100"/>
        </a:p>
        <a:p>
          <a:r>
            <a:rPr lang="ko-KR" altLang="en-US" sz="1100"/>
            <a:t>기능 </a:t>
          </a:r>
          <a:r>
            <a:rPr lang="en-US" altLang="ko-KR" sz="1100"/>
            <a:t>50, </a:t>
          </a:r>
          <a:r>
            <a:rPr lang="ko-KR" altLang="en-US" sz="1100"/>
            <a:t>라인</a:t>
          </a:r>
          <a:r>
            <a:rPr lang="en-US" altLang="ko-KR" sz="1100"/>
            <a:t>50~100, </a:t>
          </a:r>
          <a:r>
            <a:rPr lang="ko-KR" altLang="en-US" sz="1100"/>
            <a:t>후가공</a:t>
          </a:r>
          <a:r>
            <a:rPr lang="en-US" altLang="ko-KR" sz="1100"/>
            <a:t>50 </a:t>
          </a:r>
          <a:r>
            <a:rPr lang="ko-KR" altLang="en-US" sz="1100"/>
            <a:t>진행 예정입니다</a:t>
          </a:r>
        </a:p>
      </xdr:txBody>
    </xdr:sp>
    <xdr:clientData/>
  </xdr:oneCellAnchor>
  <xdr:oneCellAnchor>
    <xdr:from>
      <xdr:col>3</xdr:col>
      <xdr:colOff>1338943</xdr:colOff>
      <xdr:row>326</xdr:row>
      <xdr:rowOff>174172</xdr:rowOff>
    </xdr:from>
    <xdr:ext cx="1881028" cy="336246"/>
    <xdr:sp macro="" textlink="">
      <xdr:nvSpPr>
        <xdr:cNvPr id="17" name="TextBox 16">
          <a:extLst>
            <a:ext uri="{FF2B5EF4-FFF2-40B4-BE49-F238E27FC236}">
              <a16:creationId xmlns:a16="http://schemas.microsoft.com/office/drawing/2014/main" id="{FD164EDB-D89B-447E-B82D-4D5A90EC248A}"/>
            </a:ext>
          </a:extLst>
        </xdr:cNvPr>
        <xdr:cNvSpPr txBox="1"/>
      </xdr:nvSpPr>
      <xdr:spPr>
        <a:xfrm>
          <a:off x="7993743" y="124824672"/>
          <a:ext cx="1881028" cy="33624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1100"/>
            <a:t>이번주에 제출해야 합니다</a:t>
          </a:r>
          <a:r>
            <a:rPr lang="en-US" altLang="ko-KR" sz="1100"/>
            <a:t>!!</a:t>
          </a:r>
          <a:endParaRPr lang="ko-KR" altLang="en-US" sz="1100"/>
        </a:p>
      </xdr:txBody>
    </xdr:sp>
    <xdr:clientData/>
  </xdr:oneCellAnchor>
  <xdr:oneCellAnchor>
    <xdr:from>
      <xdr:col>8</xdr:col>
      <xdr:colOff>881743</xdr:colOff>
      <xdr:row>352</xdr:row>
      <xdr:rowOff>108858</xdr:rowOff>
    </xdr:from>
    <xdr:ext cx="2394857" cy="914400"/>
    <xdr:sp macro="" textlink="">
      <xdr:nvSpPr>
        <xdr:cNvPr id="18" name="TextBox 17">
          <a:extLst>
            <a:ext uri="{FF2B5EF4-FFF2-40B4-BE49-F238E27FC236}">
              <a16:creationId xmlns:a16="http://schemas.microsoft.com/office/drawing/2014/main" id="{515E72AF-07DA-44E3-B3C4-C416BC8C3C45}"/>
            </a:ext>
          </a:extLst>
        </xdr:cNvPr>
        <xdr:cNvSpPr txBox="1"/>
      </xdr:nvSpPr>
      <xdr:spPr>
        <a:xfrm>
          <a:off x="15029543" y="134665358"/>
          <a:ext cx="2394857" cy="91440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ko-KR" altLang="en-US" sz="1100"/>
            <a:t>시그니아 외용기 냉온복합기 샘플 사출에 대해서는 별도 요청기록 남기지 않았습니다</a:t>
          </a:r>
          <a:r>
            <a:rPr lang="en-US" altLang="ko-KR" sz="1100"/>
            <a:t>.</a:t>
          </a:r>
          <a:endParaRPr lang="ko-KR" altLang="en-US" sz="1100"/>
        </a:p>
      </xdr:txBody>
    </xdr:sp>
    <xdr:clientData/>
  </xdr:oneCellAnchor>
  <xdr:twoCellAnchor editAs="oneCell">
    <xdr:from>
      <xdr:col>6</xdr:col>
      <xdr:colOff>261258</xdr:colOff>
      <xdr:row>353</xdr:row>
      <xdr:rowOff>10884</xdr:rowOff>
    </xdr:from>
    <xdr:to>
      <xdr:col>9</xdr:col>
      <xdr:colOff>354695</xdr:colOff>
      <xdr:row>359</xdr:row>
      <xdr:rowOff>122423</xdr:rowOff>
    </xdr:to>
    <xdr:pic>
      <xdr:nvPicPr>
        <xdr:cNvPr id="19" name="그림 18">
          <a:extLst>
            <a:ext uri="{FF2B5EF4-FFF2-40B4-BE49-F238E27FC236}">
              <a16:creationId xmlns:a16="http://schemas.microsoft.com/office/drawing/2014/main" id="{16A673BA-ADC5-422B-84B2-285903454C39}"/>
            </a:ext>
          </a:extLst>
        </xdr:cNvPr>
        <xdr:cNvPicPr>
          <a:picLocks noChangeAspect="1"/>
        </xdr:cNvPicPr>
      </xdr:nvPicPr>
      <xdr:blipFill>
        <a:blip xmlns:r="http://schemas.openxmlformats.org/officeDocument/2006/relationships" r:embed="rId2"/>
        <a:stretch>
          <a:fillRect/>
        </a:stretch>
      </xdr:blipFill>
      <xdr:spPr>
        <a:xfrm>
          <a:off x="13272408" y="134948384"/>
          <a:ext cx="4239987" cy="1413289"/>
        </a:xfrm>
        <a:prstGeom prst="rect">
          <a:avLst/>
        </a:prstGeom>
      </xdr:spPr>
    </xdr:pic>
    <xdr:clientData/>
  </xdr:twoCellAnchor>
  <xdr:oneCellAnchor>
    <xdr:from>
      <xdr:col>8</xdr:col>
      <xdr:colOff>881743</xdr:colOff>
      <xdr:row>376</xdr:row>
      <xdr:rowOff>108858</xdr:rowOff>
    </xdr:from>
    <xdr:ext cx="2394857" cy="914400"/>
    <xdr:sp macro="" textlink="">
      <xdr:nvSpPr>
        <xdr:cNvPr id="20" name="TextBox 19">
          <a:extLst>
            <a:ext uri="{FF2B5EF4-FFF2-40B4-BE49-F238E27FC236}">
              <a16:creationId xmlns:a16="http://schemas.microsoft.com/office/drawing/2014/main" id="{0EFD8D25-8DCB-462C-94E6-8845D6BDD873}"/>
            </a:ext>
          </a:extLst>
        </xdr:cNvPr>
        <xdr:cNvSpPr txBox="1"/>
      </xdr:nvSpPr>
      <xdr:spPr>
        <a:xfrm>
          <a:off x="15029543" y="143809358"/>
          <a:ext cx="2394857" cy="91440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ko-KR" altLang="en-US" sz="1100"/>
            <a:t>시그니아 외용기 냉온복합기 샘플 사출에 대해서는 별도 요청기록 남기지 않았습니다</a:t>
          </a:r>
          <a:r>
            <a:rPr lang="en-US" altLang="ko-KR" sz="1100"/>
            <a:t>.</a:t>
          </a:r>
          <a:endParaRPr lang="ko-KR" altLang="en-US" sz="1100"/>
        </a:p>
      </xdr:txBody>
    </xdr:sp>
    <xdr:clientData/>
  </xdr:oneCellAnchor>
  <xdr:twoCellAnchor editAs="oneCell">
    <xdr:from>
      <xdr:col>10</xdr:col>
      <xdr:colOff>97970</xdr:colOff>
      <xdr:row>253</xdr:row>
      <xdr:rowOff>217715</xdr:rowOff>
    </xdr:from>
    <xdr:to>
      <xdr:col>12</xdr:col>
      <xdr:colOff>4020400</xdr:colOff>
      <xdr:row>259</xdr:row>
      <xdr:rowOff>15934</xdr:rowOff>
    </xdr:to>
    <xdr:pic>
      <xdr:nvPicPr>
        <xdr:cNvPr id="21" name="그림 20">
          <a:extLst>
            <a:ext uri="{FF2B5EF4-FFF2-40B4-BE49-F238E27FC236}">
              <a16:creationId xmlns:a16="http://schemas.microsoft.com/office/drawing/2014/main" id="{EFE2732A-AED9-4EFC-84BA-D4844CD1E1DC}"/>
            </a:ext>
          </a:extLst>
        </xdr:cNvPr>
        <xdr:cNvPicPr>
          <a:picLocks noChangeAspect="1"/>
        </xdr:cNvPicPr>
      </xdr:nvPicPr>
      <xdr:blipFill>
        <a:blip xmlns:r="http://schemas.openxmlformats.org/officeDocument/2006/relationships" r:embed="rId1"/>
        <a:stretch>
          <a:fillRect/>
        </a:stretch>
      </xdr:blipFill>
      <xdr:spPr>
        <a:xfrm>
          <a:off x="18185945" y="96353540"/>
          <a:ext cx="8122955" cy="1065044"/>
        </a:xfrm>
        <a:prstGeom prst="rect">
          <a:avLst/>
        </a:prstGeom>
      </xdr:spPr>
    </xdr:pic>
    <xdr:clientData/>
  </xdr:twoCellAnchor>
  <xdr:twoCellAnchor>
    <xdr:from>
      <xdr:col>3</xdr:col>
      <xdr:colOff>1208314</xdr:colOff>
      <xdr:row>271</xdr:row>
      <xdr:rowOff>21771</xdr:rowOff>
    </xdr:from>
    <xdr:to>
      <xdr:col>3</xdr:col>
      <xdr:colOff>4049486</xdr:colOff>
      <xdr:row>277</xdr:row>
      <xdr:rowOff>228600</xdr:rowOff>
    </xdr:to>
    <xdr:sp macro="" textlink="">
      <xdr:nvSpPr>
        <xdr:cNvPr id="22" name="TextBox 21">
          <a:extLst>
            <a:ext uri="{FF2B5EF4-FFF2-40B4-BE49-F238E27FC236}">
              <a16:creationId xmlns:a16="http://schemas.microsoft.com/office/drawing/2014/main" id="{726F82C0-519D-4D45-8B79-4CBEF3F0FBBB}"/>
            </a:ext>
          </a:extLst>
        </xdr:cNvPr>
        <xdr:cNvSpPr txBox="1"/>
      </xdr:nvSpPr>
      <xdr:spPr>
        <a:xfrm>
          <a:off x="7875814" y="103015596"/>
          <a:ext cx="2841172" cy="249282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400"/>
            <a:t>MB</a:t>
          </a:r>
          <a:r>
            <a:rPr lang="ko-KR" altLang="en-US" sz="1400"/>
            <a:t>대로 사출해주시고 사출에 문제없으면 후가공할 수 있도록 수량찍어주셔서 후가공 보낼 수 있도록 해주세요</a:t>
          </a:r>
          <a:endParaRPr lang="en-US" altLang="ko-KR" sz="1400"/>
        </a:p>
        <a:p>
          <a:r>
            <a:rPr lang="ko-KR" altLang="en-US" sz="1400"/>
            <a:t>시사출 보고서 작성해서 공유해야 합니다</a:t>
          </a:r>
          <a:r>
            <a:rPr lang="en-US" altLang="ko-KR" sz="1400"/>
            <a:t>.</a:t>
          </a:r>
          <a:endParaRPr lang="ko-KR" altLang="en-US" sz="1400"/>
        </a:p>
      </xdr:txBody>
    </xdr:sp>
    <xdr:clientData/>
  </xdr:twoCellAnchor>
  <xdr:oneCellAnchor>
    <xdr:from>
      <xdr:col>3</xdr:col>
      <xdr:colOff>2209800</xdr:colOff>
      <xdr:row>341</xdr:row>
      <xdr:rowOff>293914</xdr:rowOff>
    </xdr:from>
    <xdr:ext cx="2394857" cy="914400"/>
    <xdr:sp macro="" textlink="">
      <xdr:nvSpPr>
        <xdr:cNvPr id="23" name="TextBox 22">
          <a:extLst>
            <a:ext uri="{FF2B5EF4-FFF2-40B4-BE49-F238E27FC236}">
              <a16:creationId xmlns:a16="http://schemas.microsoft.com/office/drawing/2014/main" id="{659F6D21-9DD1-497A-AD6B-797A6A5D9E25}"/>
            </a:ext>
          </a:extLst>
        </xdr:cNvPr>
        <xdr:cNvSpPr txBox="1"/>
      </xdr:nvSpPr>
      <xdr:spPr>
        <a:xfrm>
          <a:off x="8877300" y="130624489"/>
          <a:ext cx="2394857" cy="91440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ko-KR" altLang="en-US" sz="1100"/>
            <a:t>금형이 입고되는대로 진행 바랍니다</a:t>
          </a:r>
          <a:endParaRPr lang="en-US" altLang="ko-KR" sz="1100"/>
        </a:p>
        <a:p>
          <a:r>
            <a:rPr lang="ko-KR" altLang="en-US" sz="1100"/>
            <a:t>기능 </a:t>
          </a:r>
          <a:r>
            <a:rPr lang="en-US" altLang="ko-KR" sz="1100"/>
            <a:t>50, </a:t>
          </a:r>
          <a:r>
            <a:rPr lang="ko-KR" altLang="en-US" sz="1100"/>
            <a:t>라인</a:t>
          </a:r>
          <a:r>
            <a:rPr lang="en-US" altLang="ko-KR" sz="1100"/>
            <a:t>50~100, </a:t>
          </a:r>
          <a:r>
            <a:rPr lang="ko-KR" altLang="en-US" sz="1100"/>
            <a:t>후가공</a:t>
          </a:r>
          <a:r>
            <a:rPr lang="en-US" altLang="ko-KR" sz="1100"/>
            <a:t>50 </a:t>
          </a:r>
          <a:r>
            <a:rPr lang="ko-KR" altLang="en-US" sz="1100"/>
            <a:t>진행 예정입니다</a:t>
          </a:r>
        </a:p>
      </xdr:txBody>
    </xdr:sp>
    <xdr:clientData/>
  </xdr:oneCellAnchor>
  <xdr:oneCellAnchor>
    <xdr:from>
      <xdr:col>3</xdr:col>
      <xdr:colOff>1338943</xdr:colOff>
      <xdr:row>326</xdr:row>
      <xdr:rowOff>174172</xdr:rowOff>
    </xdr:from>
    <xdr:ext cx="1881028" cy="336246"/>
    <xdr:sp macro="" textlink="">
      <xdr:nvSpPr>
        <xdr:cNvPr id="24" name="TextBox 23">
          <a:extLst>
            <a:ext uri="{FF2B5EF4-FFF2-40B4-BE49-F238E27FC236}">
              <a16:creationId xmlns:a16="http://schemas.microsoft.com/office/drawing/2014/main" id="{1CEB2AE8-F48B-4176-99D4-80DB90A5DD48}"/>
            </a:ext>
          </a:extLst>
        </xdr:cNvPr>
        <xdr:cNvSpPr txBox="1"/>
      </xdr:nvSpPr>
      <xdr:spPr>
        <a:xfrm>
          <a:off x="8006443" y="124789747"/>
          <a:ext cx="1881028" cy="33624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1100"/>
            <a:t>이번주에 제출해야 합니다</a:t>
          </a:r>
          <a:r>
            <a:rPr lang="en-US" altLang="ko-KR" sz="1100"/>
            <a:t>!!</a:t>
          </a:r>
          <a:endParaRPr lang="ko-KR" altLang="en-US" sz="1100"/>
        </a:p>
      </xdr:txBody>
    </xdr:sp>
    <xdr:clientData/>
  </xdr:oneCellAnchor>
  <xdr:oneCellAnchor>
    <xdr:from>
      <xdr:col>8</xdr:col>
      <xdr:colOff>881743</xdr:colOff>
      <xdr:row>352</xdr:row>
      <xdr:rowOff>108858</xdr:rowOff>
    </xdr:from>
    <xdr:ext cx="2394857" cy="914400"/>
    <xdr:sp macro="" textlink="">
      <xdr:nvSpPr>
        <xdr:cNvPr id="25" name="TextBox 24">
          <a:extLst>
            <a:ext uri="{FF2B5EF4-FFF2-40B4-BE49-F238E27FC236}">
              <a16:creationId xmlns:a16="http://schemas.microsoft.com/office/drawing/2014/main" id="{0EC873E4-2A70-4331-A806-0E1F3427F5C3}"/>
            </a:ext>
          </a:extLst>
        </xdr:cNvPr>
        <xdr:cNvSpPr txBox="1"/>
      </xdr:nvSpPr>
      <xdr:spPr>
        <a:xfrm>
          <a:off x="15054943" y="134630433"/>
          <a:ext cx="2394857" cy="91440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ko-KR" altLang="en-US" sz="1100"/>
            <a:t>시그니아 외용기 냉온복합기 샘플 사출에 대해서는 별도 요청기록 남기지 않았습니다</a:t>
          </a:r>
          <a:r>
            <a:rPr lang="en-US" altLang="ko-KR" sz="1100"/>
            <a:t>.</a:t>
          </a:r>
          <a:endParaRPr lang="ko-KR" altLang="en-US" sz="1100"/>
        </a:p>
      </xdr:txBody>
    </xdr:sp>
    <xdr:clientData/>
  </xdr:oneCellAnchor>
  <xdr:twoCellAnchor editAs="oneCell">
    <xdr:from>
      <xdr:col>6</xdr:col>
      <xdr:colOff>261258</xdr:colOff>
      <xdr:row>353</xdr:row>
      <xdr:rowOff>10884</xdr:rowOff>
    </xdr:from>
    <xdr:to>
      <xdr:col>9</xdr:col>
      <xdr:colOff>354695</xdr:colOff>
      <xdr:row>359</xdr:row>
      <xdr:rowOff>141473</xdr:rowOff>
    </xdr:to>
    <xdr:pic>
      <xdr:nvPicPr>
        <xdr:cNvPr id="26" name="그림 25">
          <a:extLst>
            <a:ext uri="{FF2B5EF4-FFF2-40B4-BE49-F238E27FC236}">
              <a16:creationId xmlns:a16="http://schemas.microsoft.com/office/drawing/2014/main" id="{7D1303DB-4818-479B-B1F8-8B411440B8D1}"/>
            </a:ext>
          </a:extLst>
        </xdr:cNvPr>
        <xdr:cNvPicPr>
          <a:picLocks noChangeAspect="1"/>
        </xdr:cNvPicPr>
      </xdr:nvPicPr>
      <xdr:blipFill>
        <a:blip xmlns:r="http://schemas.openxmlformats.org/officeDocument/2006/relationships" r:embed="rId2"/>
        <a:stretch>
          <a:fillRect/>
        </a:stretch>
      </xdr:blipFill>
      <xdr:spPr>
        <a:xfrm>
          <a:off x="13300983" y="134913459"/>
          <a:ext cx="4239987" cy="1413289"/>
        </a:xfrm>
        <a:prstGeom prst="rect">
          <a:avLst/>
        </a:prstGeom>
      </xdr:spPr>
    </xdr:pic>
    <xdr:clientData/>
  </xdr:twoCellAnchor>
  <xdr:oneCellAnchor>
    <xdr:from>
      <xdr:col>8</xdr:col>
      <xdr:colOff>881743</xdr:colOff>
      <xdr:row>376</xdr:row>
      <xdr:rowOff>108858</xdr:rowOff>
    </xdr:from>
    <xdr:ext cx="2394857" cy="914400"/>
    <xdr:sp macro="" textlink="">
      <xdr:nvSpPr>
        <xdr:cNvPr id="27" name="TextBox 26">
          <a:extLst>
            <a:ext uri="{FF2B5EF4-FFF2-40B4-BE49-F238E27FC236}">
              <a16:creationId xmlns:a16="http://schemas.microsoft.com/office/drawing/2014/main" id="{22C90BC1-9288-4FAF-A520-816828927309}"/>
            </a:ext>
          </a:extLst>
        </xdr:cNvPr>
        <xdr:cNvSpPr txBox="1"/>
      </xdr:nvSpPr>
      <xdr:spPr>
        <a:xfrm>
          <a:off x="15054943" y="143774433"/>
          <a:ext cx="2394857" cy="91440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ko-KR" altLang="en-US" sz="1100"/>
            <a:t>시그니아 외용기 냉온복합기 샘플 사출에 대해서는 별도 요청기록 남기지 않았습니다</a:t>
          </a:r>
          <a:r>
            <a:rPr lang="en-US" altLang="ko-KR" sz="1100"/>
            <a:t>.</a:t>
          </a:r>
          <a:endParaRPr lang="ko-KR" altLang="en-US" sz="1100"/>
        </a:p>
      </xdr:txBody>
    </xdr:sp>
    <xdr:clientData/>
  </xdr:oneCellAnchor>
  <xdr:twoCellAnchor editAs="oneCell">
    <xdr:from>
      <xdr:col>8</xdr:col>
      <xdr:colOff>1328057</xdr:colOff>
      <xdr:row>389</xdr:row>
      <xdr:rowOff>331985</xdr:rowOff>
    </xdr:from>
    <xdr:to>
      <xdr:col>9</xdr:col>
      <xdr:colOff>3364946</xdr:colOff>
      <xdr:row>395</xdr:row>
      <xdr:rowOff>39752</xdr:rowOff>
    </xdr:to>
    <xdr:pic>
      <xdr:nvPicPr>
        <xdr:cNvPr id="28" name="그림 27">
          <a:extLst>
            <a:ext uri="{FF2B5EF4-FFF2-40B4-BE49-F238E27FC236}">
              <a16:creationId xmlns:a16="http://schemas.microsoft.com/office/drawing/2014/main" id="{F923AE2A-D42D-49CC-98C1-F0181767843F}"/>
            </a:ext>
          </a:extLst>
        </xdr:cNvPr>
        <xdr:cNvPicPr>
          <a:picLocks noChangeAspect="1"/>
        </xdr:cNvPicPr>
      </xdr:nvPicPr>
      <xdr:blipFill>
        <a:blip xmlns:r="http://schemas.openxmlformats.org/officeDocument/2006/relationships" r:embed="rId3"/>
        <a:stretch>
          <a:fillRect/>
        </a:stretch>
      </xdr:blipFill>
      <xdr:spPr>
        <a:xfrm>
          <a:off x="15501257" y="148950560"/>
          <a:ext cx="4703889" cy="1088892"/>
        </a:xfrm>
        <a:prstGeom prst="rect">
          <a:avLst/>
        </a:prstGeom>
      </xdr:spPr>
    </xdr:pic>
    <xdr:clientData/>
  </xdr:twoCellAnchor>
  <xdr:twoCellAnchor editAs="oneCell">
    <xdr:from>
      <xdr:col>6</xdr:col>
      <xdr:colOff>424542</xdr:colOff>
      <xdr:row>391</xdr:row>
      <xdr:rowOff>54430</xdr:rowOff>
    </xdr:from>
    <xdr:to>
      <xdr:col>9</xdr:col>
      <xdr:colOff>457200</xdr:colOff>
      <xdr:row>398</xdr:row>
      <xdr:rowOff>94754</xdr:rowOff>
    </xdr:to>
    <xdr:pic>
      <xdr:nvPicPr>
        <xdr:cNvPr id="29" name="그림 28">
          <a:extLst>
            <a:ext uri="{FF2B5EF4-FFF2-40B4-BE49-F238E27FC236}">
              <a16:creationId xmlns:a16="http://schemas.microsoft.com/office/drawing/2014/main" id="{DD7CB74C-C5C1-45C7-BD0E-5A7A55D60AFC}"/>
            </a:ext>
          </a:extLst>
        </xdr:cNvPr>
        <xdr:cNvPicPr>
          <a:picLocks noChangeAspect="1"/>
        </xdr:cNvPicPr>
      </xdr:nvPicPr>
      <xdr:blipFill>
        <a:blip xmlns:r="http://schemas.openxmlformats.org/officeDocument/2006/relationships" r:embed="rId4"/>
        <a:stretch>
          <a:fillRect/>
        </a:stretch>
      </xdr:blipFill>
      <xdr:spPr>
        <a:xfrm>
          <a:off x="13464267" y="149435005"/>
          <a:ext cx="4185558" cy="1507174"/>
        </a:xfrm>
        <a:prstGeom prst="rect">
          <a:avLst/>
        </a:prstGeom>
      </xdr:spPr>
    </xdr:pic>
    <xdr:clientData/>
  </xdr:twoCellAnchor>
  <xdr:twoCellAnchor editAs="oneCell">
    <xdr:from>
      <xdr:col>10</xdr:col>
      <xdr:colOff>97970</xdr:colOff>
      <xdr:row>253</xdr:row>
      <xdr:rowOff>217715</xdr:rowOff>
    </xdr:from>
    <xdr:to>
      <xdr:col>12</xdr:col>
      <xdr:colOff>3829900</xdr:colOff>
      <xdr:row>258</xdr:row>
      <xdr:rowOff>190559</xdr:rowOff>
    </xdr:to>
    <xdr:pic>
      <xdr:nvPicPr>
        <xdr:cNvPr id="30" name="그림 29">
          <a:extLst>
            <a:ext uri="{FF2B5EF4-FFF2-40B4-BE49-F238E27FC236}">
              <a16:creationId xmlns:a16="http://schemas.microsoft.com/office/drawing/2014/main" id="{8FDFAAF7-BD99-40EA-A250-174017B3E8FD}"/>
            </a:ext>
          </a:extLst>
        </xdr:cNvPr>
        <xdr:cNvPicPr>
          <a:picLocks noChangeAspect="1"/>
        </xdr:cNvPicPr>
      </xdr:nvPicPr>
      <xdr:blipFill>
        <a:blip xmlns:r="http://schemas.openxmlformats.org/officeDocument/2006/relationships" r:embed="rId1"/>
        <a:stretch>
          <a:fillRect/>
        </a:stretch>
      </xdr:blipFill>
      <xdr:spPr>
        <a:xfrm>
          <a:off x="18147845" y="96356715"/>
          <a:ext cx="7922930" cy="1065044"/>
        </a:xfrm>
        <a:prstGeom prst="rect">
          <a:avLst/>
        </a:prstGeom>
      </xdr:spPr>
    </xdr:pic>
    <xdr:clientData/>
  </xdr:twoCellAnchor>
  <xdr:twoCellAnchor>
    <xdr:from>
      <xdr:col>3</xdr:col>
      <xdr:colOff>1208314</xdr:colOff>
      <xdr:row>271</xdr:row>
      <xdr:rowOff>21771</xdr:rowOff>
    </xdr:from>
    <xdr:to>
      <xdr:col>3</xdr:col>
      <xdr:colOff>4049486</xdr:colOff>
      <xdr:row>277</xdr:row>
      <xdr:rowOff>228600</xdr:rowOff>
    </xdr:to>
    <xdr:sp macro="" textlink="">
      <xdr:nvSpPr>
        <xdr:cNvPr id="31" name="TextBox 30">
          <a:extLst>
            <a:ext uri="{FF2B5EF4-FFF2-40B4-BE49-F238E27FC236}">
              <a16:creationId xmlns:a16="http://schemas.microsoft.com/office/drawing/2014/main" id="{B3368A93-1EC1-4164-A9EE-D88F858A6EE1}"/>
            </a:ext>
          </a:extLst>
        </xdr:cNvPr>
        <xdr:cNvSpPr txBox="1"/>
      </xdr:nvSpPr>
      <xdr:spPr>
        <a:xfrm>
          <a:off x="7869464" y="103015596"/>
          <a:ext cx="2834822" cy="249282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400"/>
            <a:t>MB</a:t>
          </a:r>
          <a:r>
            <a:rPr lang="ko-KR" altLang="en-US" sz="1400"/>
            <a:t>대로 사출해주시고 사출에 문제없으면 후가공할 수 있도록 수량찍어주셔서 후가공 보낼 수 있도록 해주세요</a:t>
          </a:r>
          <a:endParaRPr lang="en-US" altLang="ko-KR" sz="1400"/>
        </a:p>
        <a:p>
          <a:r>
            <a:rPr lang="ko-KR" altLang="en-US" sz="1400"/>
            <a:t>시사출 보고서 작성해서 공유해야 합니다</a:t>
          </a:r>
          <a:r>
            <a:rPr lang="en-US" altLang="ko-KR" sz="1400"/>
            <a:t>.</a:t>
          </a:r>
          <a:endParaRPr lang="ko-KR" altLang="en-US" sz="1400"/>
        </a:p>
      </xdr:txBody>
    </xdr:sp>
    <xdr:clientData/>
  </xdr:twoCellAnchor>
  <xdr:oneCellAnchor>
    <xdr:from>
      <xdr:col>3</xdr:col>
      <xdr:colOff>2209800</xdr:colOff>
      <xdr:row>341</xdr:row>
      <xdr:rowOff>293914</xdr:rowOff>
    </xdr:from>
    <xdr:ext cx="2394857" cy="914400"/>
    <xdr:sp macro="" textlink="">
      <xdr:nvSpPr>
        <xdr:cNvPr id="32" name="TextBox 31">
          <a:extLst>
            <a:ext uri="{FF2B5EF4-FFF2-40B4-BE49-F238E27FC236}">
              <a16:creationId xmlns:a16="http://schemas.microsoft.com/office/drawing/2014/main" id="{08A7D740-304F-4D64-9825-DC883D4B8E9C}"/>
            </a:ext>
          </a:extLst>
        </xdr:cNvPr>
        <xdr:cNvSpPr txBox="1"/>
      </xdr:nvSpPr>
      <xdr:spPr>
        <a:xfrm>
          <a:off x="8867775" y="130656239"/>
          <a:ext cx="2394857" cy="91440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ko-KR" altLang="en-US" sz="1100"/>
            <a:t>금형이 입고되는대로 진행 바랍니다</a:t>
          </a:r>
          <a:endParaRPr lang="en-US" altLang="ko-KR" sz="1100"/>
        </a:p>
        <a:p>
          <a:r>
            <a:rPr lang="ko-KR" altLang="en-US" sz="1100"/>
            <a:t>기능 </a:t>
          </a:r>
          <a:r>
            <a:rPr lang="en-US" altLang="ko-KR" sz="1100"/>
            <a:t>50, </a:t>
          </a:r>
          <a:r>
            <a:rPr lang="ko-KR" altLang="en-US" sz="1100"/>
            <a:t>라인</a:t>
          </a:r>
          <a:r>
            <a:rPr lang="en-US" altLang="ko-KR" sz="1100"/>
            <a:t>50~100, </a:t>
          </a:r>
          <a:r>
            <a:rPr lang="ko-KR" altLang="en-US" sz="1100"/>
            <a:t>후가공</a:t>
          </a:r>
          <a:r>
            <a:rPr lang="en-US" altLang="ko-KR" sz="1100"/>
            <a:t>50 </a:t>
          </a:r>
          <a:r>
            <a:rPr lang="ko-KR" altLang="en-US" sz="1100"/>
            <a:t>진행 예정입니다</a:t>
          </a:r>
        </a:p>
      </xdr:txBody>
    </xdr:sp>
    <xdr:clientData/>
  </xdr:oneCellAnchor>
  <xdr:oneCellAnchor>
    <xdr:from>
      <xdr:col>3</xdr:col>
      <xdr:colOff>1338943</xdr:colOff>
      <xdr:row>326</xdr:row>
      <xdr:rowOff>174172</xdr:rowOff>
    </xdr:from>
    <xdr:ext cx="1881028" cy="336246"/>
    <xdr:sp macro="" textlink="">
      <xdr:nvSpPr>
        <xdr:cNvPr id="33" name="TextBox 32">
          <a:extLst>
            <a:ext uri="{FF2B5EF4-FFF2-40B4-BE49-F238E27FC236}">
              <a16:creationId xmlns:a16="http://schemas.microsoft.com/office/drawing/2014/main" id="{018F33C0-A8D5-46F6-84FC-63FBA4A4DC8A}"/>
            </a:ext>
          </a:extLst>
        </xdr:cNvPr>
        <xdr:cNvSpPr txBox="1"/>
      </xdr:nvSpPr>
      <xdr:spPr>
        <a:xfrm>
          <a:off x="8000093" y="124818322"/>
          <a:ext cx="1881028" cy="33624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1100"/>
            <a:t>이번주에 제출해야 합니다</a:t>
          </a:r>
          <a:r>
            <a:rPr lang="en-US" altLang="ko-KR" sz="1100"/>
            <a:t>!!</a:t>
          </a:r>
          <a:endParaRPr lang="ko-KR" altLang="en-US" sz="1100"/>
        </a:p>
      </xdr:txBody>
    </xdr:sp>
    <xdr:clientData/>
  </xdr:oneCellAnchor>
  <xdr:oneCellAnchor>
    <xdr:from>
      <xdr:col>8</xdr:col>
      <xdr:colOff>881743</xdr:colOff>
      <xdr:row>352</xdr:row>
      <xdr:rowOff>108858</xdr:rowOff>
    </xdr:from>
    <xdr:ext cx="2394857" cy="914400"/>
    <xdr:sp macro="" textlink="">
      <xdr:nvSpPr>
        <xdr:cNvPr id="34" name="TextBox 33">
          <a:extLst>
            <a:ext uri="{FF2B5EF4-FFF2-40B4-BE49-F238E27FC236}">
              <a16:creationId xmlns:a16="http://schemas.microsoft.com/office/drawing/2014/main" id="{53328CAF-DAFA-41B9-90AD-1F632F7E76C6}"/>
            </a:ext>
          </a:extLst>
        </xdr:cNvPr>
        <xdr:cNvSpPr txBox="1"/>
      </xdr:nvSpPr>
      <xdr:spPr>
        <a:xfrm>
          <a:off x="15029543" y="134655833"/>
          <a:ext cx="2394857" cy="91440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ko-KR" altLang="en-US" sz="1100"/>
            <a:t>시그니아 외용기 냉온복합기 샘플 사출에 대해서는 별도 요청기록 남기지 않았습니다</a:t>
          </a:r>
          <a:r>
            <a:rPr lang="en-US" altLang="ko-KR" sz="1100"/>
            <a:t>.</a:t>
          </a:r>
          <a:endParaRPr lang="ko-KR" altLang="en-US" sz="1100"/>
        </a:p>
      </xdr:txBody>
    </xdr:sp>
    <xdr:clientData/>
  </xdr:oneCellAnchor>
  <xdr:twoCellAnchor editAs="oneCell">
    <xdr:from>
      <xdr:col>6</xdr:col>
      <xdr:colOff>261258</xdr:colOff>
      <xdr:row>353</xdr:row>
      <xdr:rowOff>10884</xdr:rowOff>
    </xdr:from>
    <xdr:to>
      <xdr:col>9</xdr:col>
      <xdr:colOff>370570</xdr:colOff>
      <xdr:row>359</xdr:row>
      <xdr:rowOff>106548</xdr:rowOff>
    </xdr:to>
    <xdr:pic>
      <xdr:nvPicPr>
        <xdr:cNvPr id="35" name="그림 34">
          <a:extLst>
            <a:ext uri="{FF2B5EF4-FFF2-40B4-BE49-F238E27FC236}">
              <a16:creationId xmlns:a16="http://schemas.microsoft.com/office/drawing/2014/main" id="{E26BECCB-3F0D-4A0F-ADC4-7B31AED22695}"/>
            </a:ext>
          </a:extLst>
        </xdr:cNvPr>
        <xdr:cNvPicPr>
          <a:picLocks noChangeAspect="1"/>
        </xdr:cNvPicPr>
      </xdr:nvPicPr>
      <xdr:blipFill>
        <a:blip xmlns:r="http://schemas.openxmlformats.org/officeDocument/2006/relationships" r:embed="rId2"/>
        <a:stretch>
          <a:fillRect/>
        </a:stretch>
      </xdr:blipFill>
      <xdr:spPr>
        <a:xfrm>
          <a:off x="13269233" y="134938859"/>
          <a:ext cx="4246337" cy="1413289"/>
        </a:xfrm>
        <a:prstGeom prst="rect">
          <a:avLst/>
        </a:prstGeom>
      </xdr:spPr>
    </xdr:pic>
    <xdr:clientData/>
  </xdr:twoCellAnchor>
  <xdr:oneCellAnchor>
    <xdr:from>
      <xdr:col>8</xdr:col>
      <xdr:colOff>881743</xdr:colOff>
      <xdr:row>376</xdr:row>
      <xdr:rowOff>108858</xdr:rowOff>
    </xdr:from>
    <xdr:ext cx="2394857" cy="914400"/>
    <xdr:sp macro="" textlink="">
      <xdr:nvSpPr>
        <xdr:cNvPr id="36" name="TextBox 35">
          <a:extLst>
            <a:ext uri="{FF2B5EF4-FFF2-40B4-BE49-F238E27FC236}">
              <a16:creationId xmlns:a16="http://schemas.microsoft.com/office/drawing/2014/main" id="{3EAC82C1-451B-4361-AB78-4A2D5D9C8790}"/>
            </a:ext>
          </a:extLst>
        </xdr:cNvPr>
        <xdr:cNvSpPr txBox="1"/>
      </xdr:nvSpPr>
      <xdr:spPr>
        <a:xfrm>
          <a:off x="15029543" y="143799833"/>
          <a:ext cx="2394857" cy="91440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ko-KR" altLang="en-US" sz="1100"/>
            <a:t>시그니아 외용기 냉온복합기 샘플 사출에 대해서는 별도 요청기록 남기지 않았습니다</a:t>
          </a:r>
          <a:r>
            <a:rPr lang="en-US" altLang="ko-KR" sz="1100"/>
            <a:t>.</a:t>
          </a:r>
          <a:endParaRPr lang="ko-KR" altLang="en-US" sz="1100"/>
        </a:p>
      </xdr:txBody>
    </xdr:sp>
    <xdr:clientData/>
  </xdr:oneCellAnchor>
  <xdr:twoCellAnchor editAs="oneCell">
    <xdr:from>
      <xdr:col>8</xdr:col>
      <xdr:colOff>1328057</xdr:colOff>
      <xdr:row>389</xdr:row>
      <xdr:rowOff>331985</xdr:rowOff>
    </xdr:from>
    <xdr:to>
      <xdr:col>9</xdr:col>
      <xdr:colOff>3355421</xdr:colOff>
      <xdr:row>394</xdr:row>
      <xdr:rowOff>208027</xdr:rowOff>
    </xdr:to>
    <xdr:pic>
      <xdr:nvPicPr>
        <xdr:cNvPr id="37" name="그림 36">
          <a:extLst>
            <a:ext uri="{FF2B5EF4-FFF2-40B4-BE49-F238E27FC236}">
              <a16:creationId xmlns:a16="http://schemas.microsoft.com/office/drawing/2014/main" id="{6279416E-059E-42D5-8F59-53C2851C8498}"/>
            </a:ext>
          </a:extLst>
        </xdr:cNvPr>
        <xdr:cNvPicPr>
          <a:picLocks noChangeAspect="1"/>
        </xdr:cNvPicPr>
      </xdr:nvPicPr>
      <xdr:blipFill>
        <a:blip xmlns:r="http://schemas.openxmlformats.org/officeDocument/2006/relationships" r:embed="rId3"/>
        <a:stretch>
          <a:fillRect/>
        </a:stretch>
      </xdr:blipFill>
      <xdr:spPr>
        <a:xfrm>
          <a:off x="15469507" y="148982310"/>
          <a:ext cx="4697539" cy="1082542"/>
        </a:xfrm>
        <a:prstGeom prst="rect">
          <a:avLst/>
        </a:prstGeom>
      </xdr:spPr>
    </xdr:pic>
    <xdr:clientData/>
  </xdr:twoCellAnchor>
  <xdr:twoCellAnchor editAs="oneCell">
    <xdr:from>
      <xdr:col>6</xdr:col>
      <xdr:colOff>424542</xdr:colOff>
      <xdr:row>391</xdr:row>
      <xdr:rowOff>54430</xdr:rowOff>
    </xdr:from>
    <xdr:to>
      <xdr:col>9</xdr:col>
      <xdr:colOff>476250</xdr:colOff>
      <xdr:row>398</xdr:row>
      <xdr:rowOff>28079</xdr:rowOff>
    </xdr:to>
    <xdr:pic>
      <xdr:nvPicPr>
        <xdr:cNvPr id="38" name="그림 37">
          <a:extLst>
            <a:ext uri="{FF2B5EF4-FFF2-40B4-BE49-F238E27FC236}">
              <a16:creationId xmlns:a16="http://schemas.microsoft.com/office/drawing/2014/main" id="{396604BA-73EA-434F-9853-2FF2DEA3AF20}"/>
            </a:ext>
          </a:extLst>
        </xdr:cNvPr>
        <xdr:cNvPicPr>
          <a:picLocks noChangeAspect="1"/>
        </xdr:cNvPicPr>
      </xdr:nvPicPr>
      <xdr:blipFill>
        <a:blip xmlns:r="http://schemas.openxmlformats.org/officeDocument/2006/relationships" r:embed="rId4"/>
        <a:stretch>
          <a:fillRect/>
        </a:stretch>
      </xdr:blipFill>
      <xdr:spPr>
        <a:xfrm>
          <a:off x="13438867" y="149463580"/>
          <a:ext cx="4182383" cy="15071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54408;&#47785;&#46321;&#47197;%20&#48143;%20BOM/&#44060;&#48156;_&#54408;&#47785;_BOM.xlsx" TargetMode="External"/><Relationship Id="rId2" Type="http://schemas.openxmlformats.org/officeDocument/2006/relationships/externalLinkPath" Target="file:///Y:\Shared%20Drive\&#54408;&#47785;&#46321;&#47197;%20&#48143;%20BOM\&#44060;&#48156;_&#54408;&#47785;_BOM.xlsx" TargetMode="External"/><Relationship Id="rId1" Type="http://schemas.openxmlformats.org/officeDocument/2006/relationships/externalLinkPath" Target="/Shared%20Drive/&#54408;&#47785;&#46321;&#47197;%20&#48143;%20BOM/&#44060;&#48156;_&#54408;&#47785;_BOM.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Y:\Shared%20Drive\&#44060;&#48156;_&#49892;&#54744;_&#49884;&#54744;\&#49444;&#48708;&#44344;&#47532;&#45824;&#51109;.xlsx" TargetMode="External"/><Relationship Id="rId1" Type="http://schemas.openxmlformats.org/officeDocument/2006/relationships/externalLinkPath" Target="&#49444;&#48708;&#44344;&#47532;&#45824;&#51109;.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Y:\Shared%20Drive\&#44060;&#48156;_&#49892;&#54744;_&#49884;&#54744;\&#52769;&#51221;&#51077;&#47141;_&#51593;&#49884;&#49324;&#52636;.xlsm" TargetMode="External"/><Relationship Id="rId1" Type="http://schemas.openxmlformats.org/officeDocument/2006/relationships/externalLinkPath" Target="&#52769;&#51221;&#51077;&#47141;_&#51593;&#49884;&#49324;&#52636;.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Y:\Shared%20Drive\&#44060;&#48156;_&#49892;&#54744;_&#49884;&#54744;\&#52769;&#51221;&#51077;&#47141;_24H&#54980;&#52769;&#51221;.xlsm" TargetMode="External"/><Relationship Id="rId1" Type="http://schemas.openxmlformats.org/officeDocument/2006/relationships/externalLinkPath" Target="&#52769;&#51221;&#51077;&#47141;_24H&#54980;&#52769;&#51221;.xlsm" TargetMode="External"/></Relationships>
</file>

<file path=xl/externalLinks/_rels/externalLink5.xml.rels><?xml version="1.0" encoding="UTF-8" standalone="yes"?>
<Relationships xmlns="http://schemas.openxmlformats.org/package/2006/relationships"><Relationship Id="rId3" Type="http://schemas.openxmlformats.org/officeDocument/2006/relationships/externalLinkPath" Target="../&#50689;&#50629;&#44060;&#48156;_&#51109;&#51652;&#50689;/&#44060;&#48156;_&#54408;&#47785;_&#49892;&#54744;&#51032;&#47280;_&#51109;&#51652;&#50689;.xlsx" TargetMode="External"/><Relationship Id="rId2" Type="http://schemas.openxmlformats.org/officeDocument/2006/relationships/externalLinkPath" Target="file:///Y:\Shared%20Drive\&#50689;&#50629;&#44060;&#48156;_&#51109;&#51652;&#50689;\&#44060;&#48156;_&#54408;&#47785;_&#49892;&#54744;&#51032;&#47280;_&#51109;&#51652;&#50689;.xlsx" TargetMode="External"/><Relationship Id="rId1" Type="http://schemas.openxmlformats.org/officeDocument/2006/relationships/externalLinkPath" Target="/Shared%20Drive/&#50689;&#50629;&#44060;&#48156;_&#51109;&#51652;&#50689;/&#44060;&#48156;_&#54408;&#47785;_&#49892;&#54744;&#51032;&#47280;_&#51109;&#51652;&#50689;.xlsx" TargetMode="External"/></Relationships>
</file>

<file path=xl/externalLinks/_rels/externalLink6.xml.rels><?xml version="1.0" encoding="UTF-8" standalone="yes"?>
<Relationships xmlns="http://schemas.openxmlformats.org/package/2006/relationships"><Relationship Id="rId3" Type="http://schemas.openxmlformats.org/officeDocument/2006/relationships/externalLinkPath" Target="../&#54408;&#47785;&#46321;&#47197;%20&#48143;%20BOM/&#44060;&#48156;_&#54408;&#47785;_BOM_1.xlsx" TargetMode="External"/><Relationship Id="rId2" Type="http://schemas.openxmlformats.org/officeDocument/2006/relationships/externalLinkPath" Target="file:///Y:\Shared%20Drive\&#54408;&#47785;&#46321;&#47197;%20&#48143;%20BOM\&#44060;&#48156;_&#54408;&#47785;_BOM_1.xlsx" TargetMode="External"/><Relationship Id="rId1" Type="http://schemas.openxmlformats.org/officeDocument/2006/relationships/externalLinkPath" Target="/Shared%20Drive/&#54408;&#47785;&#46321;&#47197;%20&#48143;%20BOM/&#44060;&#48156;_&#54408;&#47785;_BOM_1.xlsx" TargetMode="External"/></Relationships>
</file>

<file path=xl/externalLinks/_rels/externalLink7.xml.rels><?xml version="1.0" encoding="UTF-8" standalone="yes"?>
<Relationships xmlns="http://schemas.openxmlformats.org/package/2006/relationships"><Relationship Id="rId3" Type="http://schemas.openxmlformats.org/officeDocument/2006/relationships/externalLinkPath" Target="../&#50689;&#50629;&#44060;&#48156;_&#51109;&#51652;&#50689;/&#44060;&#48156;_&#54408;&#47785;.xlsx" TargetMode="External"/><Relationship Id="rId2" Type="http://schemas.openxmlformats.org/officeDocument/2006/relationships/externalLinkPath" Target="file:///Y:\Shared%20Drive\&#50689;&#50629;&#44060;&#48156;_&#51109;&#51652;&#50689;\&#44060;&#48156;_&#54408;&#47785;.xlsx" TargetMode="External"/><Relationship Id="rId1" Type="http://schemas.openxmlformats.org/officeDocument/2006/relationships/externalLinkPath" Target="/Shared%20Drive/&#50689;&#50629;&#44060;&#48156;_&#51109;&#51652;&#50689;/&#44060;&#48156;_&#54408;&#4778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BOM_개발품목"/>
      <sheetName val="BOM_도면"/>
      <sheetName val="도면체크"/>
      <sheetName val="작업코드변환"/>
    </sheetNames>
    <sheetDataSet>
      <sheetData sheetId="0">
        <row r="1">
          <cell r="B1" t="str">
            <v>제품도면번호</v>
          </cell>
          <cell r="D1" t="str">
            <v>품목코드</v>
          </cell>
          <cell r="F1" t="str">
            <v>개취수</v>
          </cell>
          <cell r="N1" t="str">
            <v>포장재 개발팀</v>
          </cell>
          <cell r="O1" t="str">
            <v>감리처</v>
          </cell>
          <cell r="P1" t="str">
            <v>금형제작처</v>
          </cell>
        </row>
        <row r="2">
          <cell r="B2" t="str">
            <v>A6797</v>
          </cell>
          <cell r="N2" t="str">
            <v>전미영</v>
          </cell>
          <cell r="O2" t="str">
            <v>포커스/강정환</v>
          </cell>
          <cell r="P2" t="str">
            <v>주식회사 대산몰드</v>
          </cell>
        </row>
        <row r="3">
          <cell r="B3" t="str">
            <v>A6797</v>
          </cell>
          <cell r="D3" t="str">
            <v>SI1553</v>
          </cell>
          <cell r="F3">
            <v>4</v>
          </cell>
          <cell r="N3" t="str">
            <v>전미영</v>
          </cell>
          <cell r="O3" t="str">
            <v>포커스/강정환</v>
          </cell>
          <cell r="P3" t="str">
            <v>주식회사 대산몰드</v>
          </cell>
        </row>
        <row r="4">
          <cell r="B4" t="str">
            <v>A6797</v>
          </cell>
          <cell r="F4">
            <v>4</v>
          </cell>
          <cell r="N4" t="str">
            <v>전미영</v>
          </cell>
          <cell r="O4" t="str">
            <v>포커스/강정환</v>
          </cell>
          <cell r="P4" t="str">
            <v>주식회사 대산몰드</v>
          </cell>
        </row>
        <row r="5">
          <cell r="B5" t="str">
            <v>A6797</v>
          </cell>
          <cell r="D5" t="str">
            <v>SI1554</v>
          </cell>
          <cell r="F5">
            <v>4</v>
          </cell>
          <cell r="N5" t="str">
            <v>전미영</v>
          </cell>
          <cell r="O5" t="str">
            <v>포커스/강정환</v>
          </cell>
          <cell r="P5" t="str">
            <v>주식회사 대산몰드</v>
          </cell>
        </row>
        <row r="6">
          <cell r="B6" t="str">
            <v>A6797</v>
          </cell>
          <cell r="N6" t="str">
            <v>전미영</v>
          </cell>
          <cell r="O6" t="str">
            <v>포커스/강정환</v>
          </cell>
          <cell r="P6" t="str">
            <v>주식회사 대산몰드</v>
          </cell>
        </row>
        <row r="7">
          <cell r="B7" t="str">
            <v>A6797</v>
          </cell>
          <cell r="N7" t="str">
            <v>전미영</v>
          </cell>
          <cell r="O7" t="str">
            <v>포커스/강정환</v>
          </cell>
          <cell r="P7" t="str">
            <v>주식회사 대산몰드</v>
          </cell>
        </row>
        <row r="8">
          <cell r="B8" t="str">
            <v>A6787</v>
          </cell>
          <cell r="F8">
            <v>4</v>
          </cell>
          <cell r="N8" t="str">
            <v>전미영</v>
          </cell>
          <cell r="O8" t="str">
            <v>포커스/강정환</v>
          </cell>
          <cell r="P8" t="str">
            <v>주식회사 대산몰드</v>
          </cell>
        </row>
        <row r="9">
          <cell r="B9" t="str">
            <v>A6787</v>
          </cell>
          <cell r="D9" t="str">
            <v>SI1537</v>
          </cell>
          <cell r="F9">
            <v>4</v>
          </cell>
          <cell r="N9" t="str">
            <v>전미영</v>
          </cell>
          <cell r="O9" t="str">
            <v>포커스/강정환</v>
          </cell>
          <cell r="P9" t="str">
            <v>주식회사 대산몰드</v>
          </cell>
        </row>
        <row r="10">
          <cell r="B10" t="str">
            <v>A6787</v>
          </cell>
          <cell r="F10">
            <v>4</v>
          </cell>
          <cell r="N10" t="str">
            <v>전미영</v>
          </cell>
          <cell r="O10" t="str">
            <v>포커스/강정환</v>
          </cell>
          <cell r="P10" t="str">
            <v>주식회사 대산몰드</v>
          </cell>
        </row>
        <row r="11">
          <cell r="B11" t="str">
            <v>A6787</v>
          </cell>
          <cell r="D11" t="str">
            <v>SI1538</v>
          </cell>
          <cell r="F11">
            <v>4</v>
          </cell>
          <cell r="N11" t="str">
            <v>전미영</v>
          </cell>
          <cell r="O11" t="str">
            <v>포커스/강정환</v>
          </cell>
          <cell r="P11" t="str">
            <v>주식회사 대산몰드</v>
          </cell>
        </row>
        <row r="12">
          <cell r="B12" t="str">
            <v>A6787</v>
          </cell>
          <cell r="D12" t="str">
            <v>SI1539</v>
          </cell>
          <cell r="F12">
            <v>4</v>
          </cell>
          <cell r="N12" t="str">
            <v>전미영</v>
          </cell>
          <cell r="O12" t="str">
            <v>포커스/강정환</v>
          </cell>
          <cell r="P12" t="str">
            <v>주식회사 대산몰드</v>
          </cell>
        </row>
        <row r="13">
          <cell r="B13" t="str">
            <v>A6787</v>
          </cell>
          <cell r="N13" t="str">
            <v>전미영</v>
          </cell>
          <cell r="O13" t="str">
            <v>포커스/강정환</v>
          </cell>
          <cell r="P13" t="str">
            <v>주식회사 대산몰드</v>
          </cell>
        </row>
        <row r="14">
          <cell r="B14" t="str">
            <v>A6787</v>
          </cell>
          <cell r="N14" t="str">
            <v>전미영</v>
          </cell>
          <cell r="O14" t="str">
            <v>포커스/강정환</v>
          </cell>
          <cell r="P14" t="str">
            <v>주식회사 대산몰드</v>
          </cell>
        </row>
        <row r="15">
          <cell r="B15" t="str">
            <v>A6801</v>
          </cell>
          <cell r="F15">
            <v>4</v>
          </cell>
          <cell r="N15" t="str">
            <v>홍서희</v>
          </cell>
          <cell r="O15" t="str">
            <v>포커스/강정환</v>
          </cell>
          <cell r="P15" t="str">
            <v>주식회사 대산몰드</v>
          </cell>
        </row>
        <row r="16">
          <cell r="B16" t="str">
            <v>A6801</v>
          </cell>
          <cell r="D16" t="str">
            <v>SI1540</v>
          </cell>
          <cell r="F16">
            <v>4</v>
          </cell>
          <cell r="N16" t="str">
            <v>홍서희</v>
          </cell>
          <cell r="O16" t="str">
            <v>포커스/강정환</v>
          </cell>
          <cell r="P16" t="str">
            <v>주식회사 대산몰드</v>
          </cell>
        </row>
        <row r="17">
          <cell r="B17" t="str">
            <v>A6801</v>
          </cell>
          <cell r="F17">
            <v>4</v>
          </cell>
          <cell r="N17" t="str">
            <v>홍서희</v>
          </cell>
          <cell r="O17" t="str">
            <v>포커스/강정환</v>
          </cell>
          <cell r="P17" t="str">
            <v>주식회사 대산몰드</v>
          </cell>
        </row>
        <row r="18">
          <cell r="B18" t="str">
            <v>A6801</v>
          </cell>
          <cell r="D18" t="str">
            <v>SI1541</v>
          </cell>
          <cell r="F18">
            <v>4</v>
          </cell>
          <cell r="N18" t="str">
            <v>홍서희</v>
          </cell>
          <cell r="O18" t="str">
            <v>포커스/강정환</v>
          </cell>
          <cell r="P18" t="str">
            <v>주식회사 대산몰드</v>
          </cell>
        </row>
        <row r="19">
          <cell r="B19" t="str">
            <v>A6801</v>
          </cell>
          <cell r="F19">
            <v>4</v>
          </cell>
          <cell r="N19" t="str">
            <v>홍서희</v>
          </cell>
          <cell r="O19" t="str">
            <v>포커스/강정환</v>
          </cell>
          <cell r="P19" t="str">
            <v>주식회사 대산몰드</v>
          </cell>
        </row>
        <row r="20">
          <cell r="B20" t="str">
            <v>A6801</v>
          </cell>
          <cell r="D20" t="str">
            <v>SI1542</v>
          </cell>
          <cell r="F20">
            <v>4</v>
          </cell>
          <cell r="N20" t="str">
            <v>홍서희</v>
          </cell>
          <cell r="O20" t="str">
            <v>포커스/강정환</v>
          </cell>
          <cell r="P20" t="str">
            <v>주식회사 대산몰드</v>
          </cell>
        </row>
        <row r="21">
          <cell r="B21" t="str">
            <v>A6801</v>
          </cell>
          <cell r="N21" t="str">
            <v>홍서희</v>
          </cell>
          <cell r="O21" t="str">
            <v>포커스/강정환</v>
          </cell>
          <cell r="P21" t="str">
            <v>주식회사 대산몰드</v>
          </cell>
        </row>
        <row r="22">
          <cell r="B22" t="str">
            <v>A6801</v>
          </cell>
          <cell r="D22" t="str">
            <v>SI1543</v>
          </cell>
          <cell r="F22">
            <v>8</v>
          </cell>
          <cell r="N22" t="str">
            <v>홍서희</v>
          </cell>
          <cell r="O22" t="str">
            <v>포커스/강정환</v>
          </cell>
          <cell r="P22" t="str">
            <v>주식회사 대산몰드</v>
          </cell>
        </row>
        <row r="23">
          <cell r="B23" t="str">
            <v>A6798</v>
          </cell>
          <cell r="D23" t="str">
            <v>SI1544</v>
          </cell>
          <cell r="F23">
            <v>4</v>
          </cell>
          <cell r="N23" t="str">
            <v>전미영</v>
          </cell>
          <cell r="O23" t="str">
            <v>포커스/강정환</v>
          </cell>
          <cell r="P23" t="str">
            <v>주식회사 대산몰드</v>
          </cell>
        </row>
        <row r="24">
          <cell r="B24" t="str">
            <v>A6798</v>
          </cell>
          <cell r="D24" t="str">
            <v>SI1545</v>
          </cell>
          <cell r="F24">
            <v>4</v>
          </cell>
          <cell r="N24" t="str">
            <v>전미영</v>
          </cell>
          <cell r="O24" t="str">
            <v>포커스/강정환</v>
          </cell>
          <cell r="P24" t="str">
            <v>주식회사 대산몰드</v>
          </cell>
        </row>
        <row r="25">
          <cell r="B25" t="str">
            <v>A5790</v>
          </cell>
          <cell r="D25" t="str">
            <v>SI0993</v>
          </cell>
          <cell r="F25">
            <v>4</v>
          </cell>
          <cell r="N25" t="str">
            <v>송혜강</v>
          </cell>
          <cell r="P25" t="str">
            <v>(주)대동몰드(금형)</v>
          </cell>
        </row>
        <row r="26">
          <cell r="B26" t="str">
            <v>A5790</v>
          </cell>
          <cell r="F26">
            <v>4</v>
          </cell>
          <cell r="N26" t="str">
            <v>송혜강</v>
          </cell>
          <cell r="P26" t="str">
            <v>(주)대동몰드(금형)</v>
          </cell>
        </row>
        <row r="27">
          <cell r="B27" t="str">
            <v>A5790</v>
          </cell>
          <cell r="F27">
            <v>4</v>
          </cell>
          <cell r="N27" t="str">
            <v>송혜강</v>
          </cell>
          <cell r="P27" t="str">
            <v>(주)대동몰드(금형)</v>
          </cell>
        </row>
        <row r="28">
          <cell r="B28" t="str">
            <v>A5790</v>
          </cell>
          <cell r="D28" t="str">
            <v>SI0992</v>
          </cell>
          <cell r="F28">
            <v>4</v>
          </cell>
          <cell r="N28" t="str">
            <v>송혜강</v>
          </cell>
          <cell r="P28" t="str">
            <v>(주)대동몰드(금형)</v>
          </cell>
        </row>
        <row r="29">
          <cell r="B29" t="str">
            <v>A5790</v>
          </cell>
          <cell r="D29" t="str">
            <v>SI0994</v>
          </cell>
          <cell r="F29">
            <v>4</v>
          </cell>
          <cell r="N29" t="str">
            <v>송혜강</v>
          </cell>
          <cell r="P29" t="str">
            <v>(주)대동몰드(금형)</v>
          </cell>
        </row>
        <row r="30">
          <cell r="B30" t="str">
            <v>A6749</v>
          </cell>
          <cell r="D30" t="str">
            <v>SI1522</v>
          </cell>
          <cell r="F30">
            <v>4</v>
          </cell>
          <cell r="N30" t="str">
            <v>김성룡/홍서희</v>
          </cell>
          <cell r="O30" t="str">
            <v>포커스/강정환</v>
          </cell>
          <cell r="P30" t="str">
            <v>주식회사 대산몰드</v>
          </cell>
        </row>
        <row r="31">
          <cell r="B31" t="str">
            <v>A6749</v>
          </cell>
          <cell r="D31" t="str">
            <v>SI1516</v>
          </cell>
          <cell r="F31">
            <v>4</v>
          </cell>
          <cell r="N31" t="str">
            <v>김성룡/홍서희</v>
          </cell>
          <cell r="O31" t="str">
            <v>포커스/강정환</v>
          </cell>
          <cell r="P31" t="str">
            <v>주식회사 대산몰드</v>
          </cell>
        </row>
        <row r="32">
          <cell r="B32" t="str">
            <v>A6749</v>
          </cell>
          <cell r="D32" t="str">
            <v>SI1515</v>
          </cell>
          <cell r="F32">
            <v>4</v>
          </cell>
          <cell r="N32" t="str">
            <v>김성룡/홍서희</v>
          </cell>
          <cell r="O32" t="str">
            <v>포커스/강정환</v>
          </cell>
          <cell r="P32" t="str">
            <v>주식회사 대산몰드</v>
          </cell>
        </row>
        <row r="33">
          <cell r="B33" t="str">
            <v>A6749</v>
          </cell>
          <cell r="N33" t="str">
            <v>김성룡/홍서희</v>
          </cell>
          <cell r="O33" t="str">
            <v>포커스/강정환</v>
          </cell>
          <cell r="P33" t="str">
            <v>주식회사 대산몰드</v>
          </cell>
        </row>
        <row r="34">
          <cell r="B34" t="str">
            <v>A6749</v>
          </cell>
          <cell r="D34" t="str">
            <v>SI1519</v>
          </cell>
          <cell r="F34">
            <v>4</v>
          </cell>
          <cell r="N34" t="str">
            <v>김성룡/홍서희</v>
          </cell>
          <cell r="O34" t="str">
            <v>포커스/강정환</v>
          </cell>
          <cell r="P34" t="str">
            <v>주식회사 대산몰드</v>
          </cell>
        </row>
        <row r="35">
          <cell r="B35" t="str">
            <v>A6749</v>
          </cell>
          <cell r="D35" t="str">
            <v>SI1518</v>
          </cell>
          <cell r="F35">
            <v>4</v>
          </cell>
          <cell r="N35" t="str">
            <v>김성룡/홍서희</v>
          </cell>
          <cell r="O35" t="str">
            <v>포커스/강정환</v>
          </cell>
          <cell r="P35" t="str">
            <v>주식회사 대산몰드</v>
          </cell>
        </row>
        <row r="36">
          <cell r="B36" t="str">
            <v>A6749</v>
          </cell>
          <cell r="D36" t="str">
            <v>SI1520</v>
          </cell>
          <cell r="F36">
            <v>4</v>
          </cell>
          <cell r="N36" t="str">
            <v>김성룡/홍서희</v>
          </cell>
          <cell r="O36" t="str">
            <v>포커스/강정환</v>
          </cell>
          <cell r="P36" t="str">
            <v>주식회사 대산몰드</v>
          </cell>
        </row>
        <row r="37">
          <cell r="B37" t="str">
            <v>A6749</v>
          </cell>
          <cell r="N37" t="str">
            <v>김성룡/홍서희</v>
          </cell>
          <cell r="O37" t="str">
            <v>포커스/강정환</v>
          </cell>
          <cell r="P37" t="str">
            <v>주식회사 대산몰드</v>
          </cell>
        </row>
        <row r="38">
          <cell r="B38" t="str">
            <v>A6764</v>
          </cell>
          <cell r="N38" t="str">
            <v>오형택</v>
          </cell>
          <cell r="P38" t="str">
            <v>주식회사 대산몰드</v>
          </cell>
        </row>
        <row r="39">
          <cell r="B39" t="str">
            <v>A6764</v>
          </cell>
          <cell r="F39">
            <v>8</v>
          </cell>
          <cell r="N39" t="str">
            <v>오형택</v>
          </cell>
          <cell r="P39" t="str">
            <v>주식회사 대산몰드</v>
          </cell>
        </row>
        <row r="40">
          <cell r="B40" t="str">
            <v>A6764</v>
          </cell>
          <cell r="F40">
            <v>8</v>
          </cell>
          <cell r="N40" t="str">
            <v>오형택</v>
          </cell>
          <cell r="P40" t="str">
            <v>주식회사 대산몰드</v>
          </cell>
        </row>
        <row r="41">
          <cell r="B41" t="str">
            <v>A6795</v>
          </cell>
          <cell r="F41">
            <v>10</v>
          </cell>
          <cell r="N41" t="str">
            <v>공경식</v>
          </cell>
          <cell r="P41" t="str">
            <v>주식회사 대산몰드</v>
          </cell>
        </row>
        <row r="42">
          <cell r="B42" t="str">
            <v>A6660</v>
          </cell>
          <cell r="D42" t="str">
            <v>T0003</v>
          </cell>
          <cell r="F42">
            <v>8</v>
          </cell>
        </row>
        <row r="43">
          <cell r="B43" t="str">
            <v>A6660</v>
          </cell>
          <cell r="D43" t="str">
            <v>SI1447</v>
          </cell>
          <cell r="F43">
            <v>8</v>
          </cell>
        </row>
        <row r="44">
          <cell r="B44" t="str">
            <v>A6232</v>
          </cell>
          <cell r="D44" t="str">
            <v>SI1555</v>
          </cell>
          <cell r="F44">
            <v>16</v>
          </cell>
        </row>
        <row r="45">
          <cell r="B45" t="str">
            <v>A6764</v>
          </cell>
          <cell r="N45" t="str">
            <v>오형택</v>
          </cell>
          <cell r="P45" t="str">
            <v>주식회사 대산몰드</v>
          </cell>
        </row>
        <row r="46">
          <cell r="B46" t="str">
            <v>A6764</v>
          </cell>
          <cell r="F46">
            <v>8</v>
          </cell>
          <cell r="N46" t="str">
            <v>오형택</v>
          </cell>
          <cell r="P46" t="str">
            <v>주식회사 대산몰드</v>
          </cell>
        </row>
        <row r="47">
          <cell r="B47" t="str">
            <v>A6764</v>
          </cell>
          <cell r="F47">
            <v>8</v>
          </cell>
          <cell r="N47" t="str">
            <v>오형택</v>
          </cell>
          <cell r="P47" t="str">
            <v>주식회사 대산몰드</v>
          </cell>
        </row>
        <row r="48">
          <cell r="B48" t="str">
            <v>A6764</v>
          </cell>
          <cell r="N48" t="str">
            <v>오형택</v>
          </cell>
          <cell r="P48" t="str">
            <v>주식회사 대산몰드</v>
          </cell>
        </row>
        <row r="49">
          <cell r="B49" t="str">
            <v>A6764</v>
          </cell>
          <cell r="D49" t="str">
            <v>SI1550</v>
          </cell>
          <cell r="N49" t="str">
            <v>오형택</v>
          </cell>
          <cell r="P49" t="str">
            <v>주식회사 대산몰드</v>
          </cell>
        </row>
        <row r="50">
          <cell r="B50" t="str">
            <v>A6764</v>
          </cell>
          <cell r="N50" t="str">
            <v>오형택</v>
          </cell>
          <cell r="P50" t="str">
            <v>주식회사 대산몰드</v>
          </cell>
        </row>
        <row r="51">
          <cell r="B51" t="str">
            <v>A6764</v>
          </cell>
          <cell r="N51" t="str">
            <v>오형택</v>
          </cell>
          <cell r="P51" t="str">
            <v>주식회사 대산몰드</v>
          </cell>
        </row>
        <row r="52">
          <cell r="B52" t="str">
            <v>A3632</v>
          </cell>
          <cell r="D52" t="str">
            <v>SI1089</v>
          </cell>
          <cell r="F52">
            <v>8</v>
          </cell>
          <cell r="N52" t="str">
            <v>김지훈</v>
          </cell>
          <cell r="P52" t="str">
            <v>보람정밀</v>
          </cell>
        </row>
        <row r="53">
          <cell r="B53" t="str">
            <v>A3632</v>
          </cell>
          <cell r="D53" t="str">
            <v>SI1088</v>
          </cell>
          <cell r="F53">
            <v>8</v>
          </cell>
          <cell r="N53" t="str">
            <v>김지훈</v>
          </cell>
          <cell r="P53" t="str">
            <v>보람정밀</v>
          </cell>
        </row>
        <row r="54">
          <cell r="B54" t="str">
            <v>A6794</v>
          </cell>
          <cell r="D54" t="str">
            <v>SI1557</v>
          </cell>
          <cell r="F54">
            <v>8</v>
          </cell>
          <cell r="N54" t="str">
            <v>아이팩</v>
          </cell>
          <cell r="O54" t="str">
            <v>리드개발/남호근</v>
          </cell>
          <cell r="P54" t="str">
            <v>주식회사 대산몰드</v>
          </cell>
        </row>
        <row r="55">
          <cell r="B55" t="str">
            <v>A6794</v>
          </cell>
          <cell r="D55" t="str">
            <v>SI1558</v>
          </cell>
          <cell r="F55">
            <v>8</v>
          </cell>
          <cell r="N55" t="str">
            <v>아이팩</v>
          </cell>
          <cell r="O55" t="str">
            <v>리드개발/남호근</v>
          </cell>
          <cell r="P55" t="str">
            <v>주식회사 대산몰드</v>
          </cell>
        </row>
        <row r="56">
          <cell r="B56" t="str">
            <v>A6802</v>
          </cell>
          <cell r="D56" t="str">
            <v>SI1559</v>
          </cell>
          <cell r="F56">
            <v>8</v>
          </cell>
          <cell r="N56" t="str">
            <v>아이팩</v>
          </cell>
          <cell r="O56" t="str">
            <v>리드개발/남호근</v>
          </cell>
          <cell r="P56" t="str">
            <v>주식회사 대산몰드</v>
          </cell>
        </row>
        <row r="57">
          <cell r="B57" t="str">
            <v>A6802</v>
          </cell>
          <cell r="D57" t="str">
            <v>SI1560</v>
          </cell>
          <cell r="F57">
            <v>8</v>
          </cell>
          <cell r="N57" t="str">
            <v>아이팩</v>
          </cell>
          <cell r="O57" t="str">
            <v>리드개발/남호근</v>
          </cell>
          <cell r="P57" t="str">
            <v>주식회사 대산몰드</v>
          </cell>
        </row>
        <row r="58">
          <cell r="B58" t="str">
            <v>JU24-038</v>
          </cell>
          <cell r="D58" t="str">
            <v>SI1562</v>
          </cell>
          <cell r="F58">
            <v>8</v>
          </cell>
          <cell r="N58" t="str">
            <v>장업</v>
          </cell>
        </row>
        <row r="59">
          <cell r="B59" t="str">
            <v>A6396</v>
          </cell>
          <cell r="D59" t="str">
            <v>SI1568</v>
          </cell>
          <cell r="F59">
            <v>4</v>
          </cell>
          <cell r="P59" t="str">
            <v>주식회사 대산몰드</v>
          </cell>
        </row>
        <row r="60">
          <cell r="B60" t="str">
            <v>A6542</v>
          </cell>
          <cell r="D60" t="str">
            <v>SI1569</v>
          </cell>
        </row>
        <row r="61">
          <cell r="B61" t="str">
            <v>A6229</v>
          </cell>
          <cell r="D61" t="str">
            <v>SI1590</v>
          </cell>
          <cell r="F61">
            <v>8</v>
          </cell>
          <cell r="N61" t="str">
            <v>윤세희</v>
          </cell>
          <cell r="O61" t="str">
            <v>없음</v>
          </cell>
          <cell r="P61" t="str">
            <v>구미에이텍</v>
          </cell>
        </row>
        <row r="62">
          <cell r="B62" t="str">
            <v>A6205</v>
          </cell>
          <cell r="D62" t="str">
            <v>SI1591</v>
          </cell>
          <cell r="F62">
            <v>4</v>
          </cell>
          <cell r="N62" t="str">
            <v>윤세희</v>
          </cell>
          <cell r="O62" t="str">
            <v>없음</v>
          </cell>
          <cell r="P62" t="str">
            <v>구미에이텍</v>
          </cell>
        </row>
        <row r="63">
          <cell r="B63" t="str">
            <v>A6205</v>
          </cell>
          <cell r="D63" t="str">
            <v>SI1592</v>
          </cell>
          <cell r="F63">
            <v>8</v>
          </cell>
          <cell r="N63" t="str">
            <v>윤세희</v>
          </cell>
          <cell r="O63" t="str">
            <v>없음</v>
          </cell>
          <cell r="P63" t="str">
            <v>구미에이텍</v>
          </cell>
        </row>
        <row r="64">
          <cell r="B64" t="str">
            <v>A6205</v>
          </cell>
          <cell r="D64" t="str">
            <v>SI1596</v>
          </cell>
          <cell r="F64">
            <v>4</v>
          </cell>
          <cell r="N64" t="str">
            <v>윤세희</v>
          </cell>
          <cell r="O64" t="str">
            <v>없음</v>
          </cell>
          <cell r="P64" t="str">
            <v>구미에이텍</v>
          </cell>
        </row>
        <row r="65">
          <cell r="B65" t="str">
            <v>A6232</v>
          </cell>
          <cell r="D65" t="str">
            <v>SI1577</v>
          </cell>
        </row>
        <row r="66">
          <cell r="B66" t="str">
            <v>A6232</v>
          </cell>
          <cell r="D66" t="str">
            <v>SI1578</v>
          </cell>
        </row>
        <row r="67">
          <cell r="B67" t="str">
            <v>A5919 A5745</v>
          </cell>
          <cell r="D67" t="str">
            <v>SI1579</v>
          </cell>
        </row>
        <row r="68">
          <cell r="B68" t="str">
            <v>A6396</v>
          </cell>
          <cell r="D68" t="str">
            <v>SI1580</v>
          </cell>
          <cell r="P68" t="str">
            <v>주식회사 대산몰드</v>
          </cell>
        </row>
        <row r="69">
          <cell r="B69" t="str">
            <v>A6228</v>
          </cell>
          <cell r="D69" t="str">
            <v>SI1581</v>
          </cell>
        </row>
        <row r="70">
          <cell r="B70" t="str">
            <v>A6764</v>
          </cell>
          <cell r="D70" t="str">
            <v>SI1582</v>
          </cell>
          <cell r="F70">
            <v>8</v>
          </cell>
          <cell r="N70" t="str">
            <v>오형택</v>
          </cell>
          <cell r="P70" t="str">
            <v>주식회사 대산몰드</v>
          </cell>
        </row>
        <row r="71">
          <cell r="B71" t="str">
            <v>A6764</v>
          </cell>
          <cell r="D71" t="str">
            <v>SI1583</v>
          </cell>
          <cell r="F71">
            <v>8</v>
          </cell>
          <cell r="N71" t="str">
            <v>오형택</v>
          </cell>
          <cell r="P71" t="str">
            <v>주식회사 대산몰드</v>
          </cell>
        </row>
        <row r="72">
          <cell r="B72" t="str">
            <v>A6764</v>
          </cell>
          <cell r="D72" t="str">
            <v>SI1584</v>
          </cell>
          <cell r="F72">
            <v>8</v>
          </cell>
          <cell r="N72" t="str">
            <v>오형택</v>
          </cell>
          <cell r="P72" t="str">
            <v>주식회사 대산몰드</v>
          </cell>
        </row>
        <row r="73">
          <cell r="B73" t="str">
            <v>A6764</v>
          </cell>
          <cell r="D73" t="str">
            <v>SI1585</v>
          </cell>
          <cell r="F73">
            <v>8</v>
          </cell>
          <cell r="N73" t="str">
            <v>오형택</v>
          </cell>
          <cell r="P73" t="str">
            <v>주식회사 대산몰드</v>
          </cell>
        </row>
        <row r="74">
          <cell r="B74" t="str">
            <v>A5226</v>
          </cell>
          <cell r="D74" t="str">
            <v>SI1597</v>
          </cell>
          <cell r="F74">
            <v>8</v>
          </cell>
          <cell r="N74" t="str">
            <v>아이팩</v>
          </cell>
          <cell r="P74" t="str">
            <v>주식회사 대산몰드</v>
          </cell>
        </row>
        <row r="75">
          <cell r="D75" t="str">
            <v>SI1595</v>
          </cell>
          <cell r="F75">
            <v>4</v>
          </cell>
        </row>
        <row r="76">
          <cell r="B76" t="str">
            <v>A6205</v>
          </cell>
          <cell r="D76" t="str">
            <v>SI1598</v>
          </cell>
          <cell r="F76">
            <v>4</v>
          </cell>
          <cell r="N76" t="str">
            <v>윤세희</v>
          </cell>
          <cell r="O76" t="str">
            <v>없음</v>
          </cell>
          <cell r="P76" t="str">
            <v>구미에이텍</v>
          </cell>
        </row>
        <row r="77">
          <cell r="B77" t="str">
            <v>A6205</v>
          </cell>
          <cell r="D77" t="str">
            <v>SI1599</v>
          </cell>
          <cell r="F77">
            <v>8</v>
          </cell>
          <cell r="N77" t="str">
            <v>윤세희</v>
          </cell>
          <cell r="O77" t="str">
            <v>없음</v>
          </cell>
          <cell r="P77" t="str">
            <v>구미에이텍</v>
          </cell>
        </row>
        <row r="78">
          <cell r="B78" t="str">
            <v>A6849</v>
          </cell>
          <cell r="D78" t="str">
            <v>SI1600</v>
          </cell>
          <cell r="F78">
            <v>4</v>
          </cell>
          <cell r="N78" t="str">
            <v>이성현</v>
          </cell>
          <cell r="O78" t="str">
            <v>리드개발/남호근</v>
          </cell>
          <cell r="P78" t="str">
            <v>주식회사 대산몰드</v>
          </cell>
        </row>
        <row r="79">
          <cell r="B79" t="str">
            <v>A6849</v>
          </cell>
          <cell r="D79" t="str">
            <v>SI1601</v>
          </cell>
          <cell r="F79">
            <v>4</v>
          </cell>
          <cell r="N79" t="str">
            <v>이성현</v>
          </cell>
          <cell r="O79" t="str">
            <v>리드개발/남호근</v>
          </cell>
          <cell r="P79" t="str">
            <v>주식회사 대산몰드</v>
          </cell>
        </row>
        <row r="80">
          <cell r="D80" t="str">
            <v>SI1602</v>
          </cell>
          <cell r="F80">
            <v>8</v>
          </cell>
        </row>
        <row r="81">
          <cell r="B81" t="str">
            <v>A0030</v>
          </cell>
          <cell r="D81" t="str">
            <v>SI1603</v>
          </cell>
          <cell r="F81">
            <v>4</v>
          </cell>
        </row>
        <row r="82">
          <cell r="D82" t="str">
            <v>SI1604</v>
          </cell>
          <cell r="F82">
            <v>4</v>
          </cell>
        </row>
        <row r="83">
          <cell r="B83" t="str">
            <v>A6855</v>
          </cell>
          <cell r="D83" t="str">
            <v>SI1605</v>
          </cell>
          <cell r="F83">
            <v>8</v>
          </cell>
          <cell r="N83" t="str">
            <v>강성함</v>
          </cell>
          <cell r="O83" t="str">
            <v>리드개발/남호근</v>
          </cell>
          <cell r="P83" t="str">
            <v>주식회사 대산몰드</v>
          </cell>
        </row>
        <row r="84">
          <cell r="B84" t="str">
            <v>A6855</v>
          </cell>
          <cell r="D84" t="str">
            <v>SI1606</v>
          </cell>
          <cell r="F84">
            <v>8</v>
          </cell>
          <cell r="N84" t="str">
            <v>강성함</v>
          </cell>
          <cell r="O84" t="str">
            <v>리드개발/남호근</v>
          </cell>
          <cell r="P84" t="str">
            <v>주식회사 대산몰드</v>
          </cell>
        </row>
        <row r="85">
          <cell r="B85" t="str">
            <v>A6153</v>
          </cell>
          <cell r="D85" t="str">
            <v>SI1607</v>
          </cell>
          <cell r="F85">
            <v>8</v>
          </cell>
        </row>
        <row r="86">
          <cell r="B86" t="str">
            <v>A6153</v>
          </cell>
          <cell r="D86" t="str">
            <v>SI1608</v>
          </cell>
          <cell r="F86">
            <v>8</v>
          </cell>
        </row>
        <row r="87">
          <cell r="B87" t="str">
            <v>A6866</v>
          </cell>
          <cell r="D87" t="str">
            <v>SC0185</v>
          </cell>
          <cell r="F87">
            <v>4</v>
          </cell>
          <cell r="N87" t="str">
            <v>손보배</v>
          </cell>
          <cell r="O87" t="str">
            <v>포커스/강정환</v>
          </cell>
          <cell r="P87" t="str">
            <v>구미에이텍</v>
          </cell>
        </row>
        <row r="88">
          <cell r="B88" t="str">
            <v>A6866</v>
          </cell>
          <cell r="D88" t="str">
            <v>SI1609</v>
          </cell>
          <cell r="F88">
            <v>4</v>
          </cell>
          <cell r="N88" t="str">
            <v>손보배</v>
          </cell>
          <cell r="O88" t="str">
            <v>포커스/강정환</v>
          </cell>
          <cell r="P88" t="str">
            <v>구미에이텍</v>
          </cell>
        </row>
        <row r="89">
          <cell r="B89" t="str">
            <v>A6866</v>
          </cell>
          <cell r="D89" t="str">
            <v>SV0310</v>
          </cell>
          <cell r="F89">
            <v>4</v>
          </cell>
          <cell r="N89" t="str">
            <v>손보배</v>
          </cell>
          <cell r="O89" t="str">
            <v>포커스/강정환</v>
          </cell>
          <cell r="P89" t="str">
            <v>구미에이텍</v>
          </cell>
        </row>
        <row r="90">
          <cell r="B90" t="str">
            <v>A6866</v>
          </cell>
          <cell r="D90" t="str">
            <v>SI1610</v>
          </cell>
          <cell r="F90">
            <v>4</v>
          </cell>
          <cell r="N90" t="str">
            <v>손보배</v>
          </cell>
          <cell r="O90" t="str">
            <v>포커스/강정환</v>
          </cell>
          <cell r="P90" t="str">
            <v>구미에이텍</v>
          </cell>
        </row>
        <row r="91">
          <cell r="B91" t="str">
            <v>A6866</v>
          </cell>
          <cell r="D91" t="str">
            <v>SI1611</v>
          </cell>
          <cell r="F91">
            <v>4</v>
          </cell>
          <cell r="N91" t="str">
            <v>손보배</v>
          </cell>
          <cell r="O91" t="str">
            <v>포커스/강정환</v>
          </cell>
          <cell r="P91" t="str">
            <v>구미에이텍</v>
          </cell>
        </row>
        <row r="92">
          <cell r="B92" t="str">
            <v>A6867</v>
          </cell>
          <cell r="D92" t="str">
            <v>X</v>
          </cell>
          <cell r="N92" t="str">
            <v>이윤희</v>
          </cell>
          <cell r="O92" t="str">
            <v>리드개발/남호근</v>
          </cell>
          <cell r="P92" t="str">
            <v>보람정밀</v>
          </cell>
        </row>
        <row r="93">
          <cell r="B93" t="str">
            <v>A6867</v>
          </cell>
          <cell r="D93" t="str">
            <v>SI1614</v>
          </cell>
          <cell r="F93">
            <v>2</v>
          </cell>
          <cell r="N93" t="str">
            <v>이윤희</v>
          </cell>
          <cell r="O93" t="str">
            <v>리드개발/남호근</v>
          </cell>
          <cell r="P93" t="str">
            <v>보람정밀</v>
          </cell>
        </row>
        <row r="94">
          <cell r="B94" t="str">
            <v>A6867</v>
          </cell>
          <cell r="D94" t="str">
            <v>X</v>
          </cell>
          <cell r="N94" t="str">
            <v>이윤희</v>
          </cell>
          <cell r="O94" t="str">
            <v>리드개발/남호근</v>
          </cell>
          <cell r="P94" t="str">
            <v>보람정밀</v>
          </cell>
        </row>
        <row r="95">
          <cell r="B95" t="str">
            <v>A6867</v>
          </cell>
          <cell r="D95" t="str">
            <v>SI1615</v>
          </cell>
          <cell r="F95">
            <v>2</v>
          </cell>
          <cell r="N95" t="str">
            <v>이윤희</v>
          </cell>
          <cell r="O95" t="str">
            <v>리드개발/남호근</v>
          </cell>
          <cell r="P95" t="str">
            <v>보람정밀</v>
          </cell>
        </row>
        <row r="96">
          <cell r="B96" t="str">
            <v>A6867</v>
          </cell>
          <cell r="D96" t="str">
            <v>SI1616</v>
          </cell>
          <cell r="F96">
            <v>2</v>
          </cell>
          <cell r="N96" t="str">
            <v>이윤희</v>
          </cell>
          <cell r="O96" t="str">
            <v>리드개발/남호근</v>
          </cell>
          <cell r="P96" t="str">
            <v>보람정밀</v>
          </cell>
        </row>
        <row r="97">
          <cell r="B97" t="str">
            <v>A6867</v>
          </cell>
          <cell r="F97">
            <v>2</v>
          </cell>
          <cell r="N97" t="str">
            <v>이윤희</v>
          </cell>
          <cell r="O97" t="str">
            <v>리드개발/남호근</v>
          </cell>
          <cell r="P97" t="str">
            <v>보람정밀</v>
          </cell>
        </row>
        <row r="98">
          <cell r="B98" t="str">
            <v>A6867</v>
          </cell>
          <cell r="D98" t="str">
            <v>SI1617</v>
          </cell>
          <cell r="F98">
            <v>2</v>
          </cell>
          <cell r="N98" t="str">
            <v>이윤희</v>
          </cell>
          <cell r="O98" t="str">
            <v>리드개발/남호근</v>
          </cell>
          <cell r="P98" t="str">
            <v>보람정밀</v>
          </cell>
        </row>
        <row r="99">
          <cell r="B99" t="str">
            <v>A6867</v>
          </cell>
          <cell r="D99" t="str">
            <v>SI1618</v>
          </cell>
          <cell r="F99">
            <v>2</v>
          </cell>
          <cell r="N99" t="str">
            <v>이윤희</v>
          </cell>
          <cell r="O99" t="str">
            <v>리드개발/남호근</v>
          </cell>
          <cell r="P99" t="str">
            <v>보람정밀</v>
          </cell>
        </row>
        <row r="100">
          <cell r="B100" t="str">
            <v>A6867</v>
          </cell>
          <cell r="D100" t="str">
            <v>SI1619</v>
          </cell>
          <cell r="F100">
            <v>2</v>
          </cell>
          <cell r="N100" t="str">
            <v>이윤희</v>
          </cell>
          <cell r="O100" t="str">
            <v>리드개발/남호근</v>
          </cell>
          <cell r="P100" t="str">
            <v>보람정밀</v>
          </cell>
        </row>
        <row r="101">
          <cell r="B101" t="str">
            <v>A6867</v>
          </cell>
          <cell r="F101">
            <v>2</v>
          </cell>
          <cell r="N101" t="str">
            <v>이윤희</v>
          </cell>
          <cell r="O101" t="str">
            <v>리드개발/남호근</v>
          </cell>
          <cell r="P101" t="str">
            <v>보람정밀</v>
          </cell>
        </row>
        <row r="102">
          <cell r="B102" t="str">
            <v>A6867</v>
          </cell>
          <cell r="D102" t="str">
            <v>SI1620</v>
          </cell>
          <cell r="F102">
            <v>2</v>
          </cell>
          <cell r="N102" t="str">
            <v>이윤희</v>
          </cell>
          <cell r="O102" t="str">
            <v>리드개발/남호근</v>
          </cell>
          <cell r="P102" t="str">
            <v>보람정밀</v>
          </cell>
        </row>
        <row r="103">
          <cell r="B103" t="str">
            <v>A6867</v>
          </cell>
          <cell r="N103" t="str">
            <v>이윤희</v>
          </cell>
          <cell r="O103" t="str">
            <v>리드개발/남호근</v>
          </cell>
          <cell r="P103" t="str">
            <v>보람정밀</v>
          </cell>
        </row>
        <row r="104">
          <cell r="B104" t="str">
            <v>A6867</v>
          </cell>
          <cell r="N104" t="str">
            <v>이윤희</v>
          </cell>
          <cell r="O104" t="str">
            <v>리드개발/남호근</v>
          </cell>
          <cell r="P104" t="str">
            <v>보람정밀</v>
          </cell>
        </row>
        <row r="105">
          <cell r="B105" t="str">
            <v>A6867</v>
          </cell>
          <cell r="D105" t="str">
            <v>X</v>
          </cell>
          <cell r="F105">
            <v>1</v>
          </cell>
          <cell r="N105" t="str">
            <v>이윤희</v>
          </cell>
          <cell r="O105" t="str">
            <v>리드개발/남호근</v>
          </cell>
          <cell r="P105" t="str">
            <v>보람정밀</v>
          </cell>
        </row>
        <row r="106">
          <cell r="B106" t="str">
            <v>A6867</v>
          </cell>
          <cell r="F106">
            <v>2</v>
          </cell>
          <cell r="N106" t="str">
            <v>이윤희</v>
          </cell>
          <cell r="O106" t="str">
            <v>리드개발/남호근</v>
          </cell>
          <cell r="P106" t="str">
            <v>보람정밀</v>
          </cell>
        </row>
        <row r="107">
          <cell r="B107" t="str">
            <v>A6867</v>
          </cell>
          <cell r="D107" t="str">
            <v>SI1621</v>
          </cell>
          <cell r="F107">
            <v>2</v>
          </cell>
          <cell r="N107" t="str">
            <v>이윤희</v>
          </cell>
          <cell r="O107" t="str">
            <v>리드개발/남호근</v>
          </cell>
          <cell r="P107" t="str">
            <v>보람정밀</v>
          </cell>
        </row>
        <row r="108">
          <cell r="B108" t="str">
            <v>A6867</v>
          </cell>
          <cell r="N108" t="str">
            <v>이윤희</v>
          </cell>
          <cell r="O108" t="str">
            <v>리드개발/남호근</v>
          </cell>
          <cell r="P108" t="str">
            <v>보람정밀</v>
          </cell>
        </row>
        <row r="109">
          <cell r="B109" t="str">
            <v>A6867</v>
          </cell>
          <cell r="F109">
            <v>4</v>
          </cell>
          <cell r="N109" t="str">
            <v>이윤희</v>
          </cell>
          <cell r="O109" t="str">
            <v>리드개발/남호근</v>
          </cell>
          <cell r="P109" t="str">
            <v>보람정밀</v>
          </cell>
        </row>
        <row r="110">
          <cell r="B110" t="str">
            <v>A6867</v>
          </cell>
          <cell r="F110">
            <v>4</v>
          </cell>
          <cell r="N110" t="str">
            <v>이윤희</v>
          </cell>
          <cell r="O110" t="str">
            <v>리드개발/남호근</v>
          </cell>
          <cell r="P110" t="str">
            <v>보람정밀</v>
          </cell>
        </row>
        <row r="111">
          <cell r="B111" t="str">
            <v>A6867</v>
          </cell>
          <cell r="D111" t="str">
            <v>SI1622</v>
          </cell>
          <cell r="F111">
            <v>4</v>
          </cell>
          <cell r="N111" t="str">
            <v>이윤희</v>
          </cell>
          <cell r="O111" t="str">
            <v>리드개발/남호근</v>
          </cell>
          <cell r="P111" t="str">
            <v>보람정밀</v>
          </cell>
        </row>
        <row r="112">
          <cell r="B112" t="str">
            <v>A6867, A6871</v>
          </cell>
          <cell r="D112" t="str">
            <v>SI1644</v>
          </cell>
          <cell r="N112" t="str">
            <v>이윤희</v>
          </cell>
          <cell r="O112" t="str">
            <v>리드개발/남호근</v>
          </cell>
          <cell r="P112" t="str">
            <v>보람정밀</v>
          </cell>
        </row>
        <row r="113">
          <cell r="B113" t="str">
            <v>A6867, A6871</v>
          </cell>
          <cell r="D113" t="str">
            <v>SI1623</v>
          </cell>
          <cell r="F113">
            <v>2</v>
          </cell>
          <cell r="N113" t="str">
            <v>이윤희</v>
          </cell>
          <cell r="O113" t="str">
            <v>리드개발/남호근</v>
          </cell>
          <cell r="P113" t="str">
            <v>보람정밀</v>
          </cell>
        </row>
        <row r="114">
          <cell r="B114" t="str">
            <v>A6867, A6871</v>
          </cell>
          <cell r="N114" t="str">
            <v>이윤희</v>
          </cell>
          <cell r="O114" t="str">
            <v>리드개발/남호근</v>
          </cell>
          <cell r="P114" t="str">
            <v>보람정밀</v>
          </cell>
        </row>
        <row r="115">
          <cell r="B115" t="str">
            <v>A6868</v>
          </cell>
          <cell r="F115">
            <v>4</v>
          </cell>
          <cell r="N115" t="str">
            <v>이윤희</v>
          </cell>
          <cell r="O115" t="str">
            <v>리드개발/남호근</v>
          </cell>
          <cell r="P115" t="str">
            <v>주식회사 대산몰드</v>
          </cell>
        </row>
        <row r="116">
          <cell r="B116" t="str">
            <v>A6868</v>
          </cell>
          <cell r="F116">
            <v>4</v>
          </cell>
          <cell r="N116" t="str">
            <v>이윤희</v>
          </cell>
          <cell r="O116" t="str">
            <v>리드개발/남호근</v>
          </cell>
          <cell r="P116" t="str">
            <v>주식회사 대산몰드</v>
          </cell>
        </row>
        <row r="117">
          <cell r="B117" t="str">
            <v>A6868</v>
          </cell>
          <cell r="D117" t="str">
            <v>SI1625</v>
          </cell>
          <cell r="F117">
            <v>4</v>
          </cell>
          <cell r="N117" t="str">
            <v>이윤희</v>
          </cell>
          <cell r="O117" t="str">
            <v>리드개발/남호근</v>
          </cell>
          <cell r="P117" t="str">
            <v>주식회사 대산몰드</v>
          </cell>
        </row>
        <row r="118">
          <cell r="B118" t="str">
            <v>A6868</v>
          </cell>
          <cell r="D118" t="str">
            <v>SI1626</v>
          </cell>
          <cell r="F118">
            <v>4</v>
          </cell>
          <cell r="N118" t="str">
            <v>이윤희</v>
          </cell>
          <cell r="O118" t="str">
            <v>리드개발/남호근</v>
          </cell>
          <cell r="P118" t="str">
            <v>주식회사 대산몰드</v>
          </cell>
        </row>
        <row r="119">
          <cell r="B119" t="str">
            <v>A6868</v>
          </cell>
          <cell r="N119" t="str">
            <v>이윤희</v>
          </cell>
          <cell r="O119" t="str">
            <v>리드개발/남호근</v>
          </cell>
          <cell r="P119" t="str">
            <v>주식회사 대산몰드</v>
          </cell>
        </row>
        <row r="120">
          <cell r="B120" t="str">
            <v>A6868</v>
          </cell>
          <cell r="D120" t="str">
            <v>SI1629</v>
          </cell>
          <cell r="F120">
            <v>4</v>
          </cell>
          <cell r="N120" t="str">
            <v>이윤희</v>
          </cell>
          <cell r="O120" t="str">
            <v>리드개발/남호근</v>
          </cell>
          <cell r="P120" t="str">
            <v>주식회사 대산몰드</v>
          </cell>
        </row>
        <row r="121">
          <cell r="B121" t="str">
            <v>A6868</v>
          </cell>
          <cell r="D121" t="str">
            <v>SI1628</v>
          </cell>
          <cell r="F121">
            <v>4</v>
          </cell>
          <cell r="N121" t="str">
            <v>이윤희</v>
          </cell>
          <cell r="O121" t="str">
            <v>리드개발/남호근</v>
          </cell>
          <cell r="P121" t="str">
            <v>주식회사 대산몰드</v>
          </cell>
        </row>
        <row r="122">
          <cell r="B122" t="str">
            <v>A6868</v>
          </cell>
          <cell r="F122">
            <v>4</v>
          </cell>
          <cell r="N122" t="str">
            <v>이윤희</v>
          </cell>
          <cell r="O122" t="str">
            <v>리드개발/남호근</v>
          </cell>
          <cell r="P122" t="str">
            <v>주식회사 대산몰드</v>
          </cell>
        </row>
        <row r="123">
          <cell r="B123" t="str">
            <v>A6868</v>
          </cell>
          <cell r="D123" t="str">
            <v>SI1627</v>
          </cell>
          <cell r="F123">
            <v>4</v>
          </cell>
          <cell r="N123" t="str">
            <v>이윤희</v>
          </cell>
          <cell r="O123" t="str">
            <v>리드개발/남호근</v>
          </cell>
          <cell r="P123" t="str">
            <v>주식회사 대산몰드</v>
          </cell>
        </row>
        <row r="124">
          <cell r="B124" t="str">
            <v>A6868</v>
          </cell>
          <cell r="N124" t="str">
            <v>이윤희</v>
          </cell>
          <cell r="O124" t="str">
            <v>리드개발/남호근</v>
          </cell>
          <cell r="P124" t="str">
            <v>주식회사 대산몰드</v>
          </cell>
        </row>
        <row r="125">
          <cell r="B125" t="str">
            <v>A6868</v>
          </cell>
          <cell r="N125" t="str">
            <v>이윤희</v>
          </cell>
          <cell r="O125" t="str">
            <v>리드개발/남호근</v>
          </cell>
          <cell r="P125" t="str">
            <v>주식회사 대산몰드</v>
          </cell>
        </row>
        <row r="126">
          <cell r="B126" t="str">
            <v>A6869</v>
          </cell>
          <cell r="F126">
            <v>4</v>
          </cell>
          <cell r="N126" t="str">
            <v>이윤희</v>
          </cell>
          <cell r="O126" t="str">
            <v>리드개발/남호근</v>
          </cell>
          <cell r="P126" t="str">
            <v>주식회사 대산몰드</v>
          </cell>
        </row>
        <row r="127">
          <cell r="B127" t="str">
            <v>A6869</v>
          </cell>
          <cell r="D127" t="str">
            <v>SV0323</v>
          </cell>
          <cell r="F127">
            <v>4</v>
          </cell>
          <cell r="N127" t="str">
            <v>이윤희</v>
          </cell>
          <cell r="O127" t="str">
            <v>리드개발/남호근</v>
          </cell>
          <cell r="P127" t="str">
            <v>주식회사 대산몰드</v>
          </cell>
        </row>
        <row r="128">
          <cell r="B128" t="str">
            <v>A6869</v>
          </cell>
          <cell r="D128" t="str">
            <v>SI1630</v>
          </cell>
          <cell r="F128">
            <v>4</v>
          </cell>
          <cell r="N128" t="str">
            <v>이윤희</v>
          </cell>
          <cell r="O128" t="str">
            <v>리드개발/남호근</v>
          </cell>
          <cell r="P128" t="str">
            <v>주식회사 대산몰드</v>
          </cell>
        </row>
        <row r="129">
          <cell r="B129" t="str">
            <v>A6869</v>
          </cell>
          <cell r="D129" t="str">
            <v>SI1631</v>
          </cell>
          <cell r="F129">
            <v>4</v>
          </cell>
          <cell r="N129" t="str">
            <v>이윤희</v>
          </cell>
          <cell r="O129" t="str">
            <v>리드개발/남호근</v>
          </cell>
          <cell r="P129" t="str">
            <v>주식회사 대산몰드</v>
          </cell>
        </row>
        <row r="130">
          <cell r="B130" t="str">
            <v>A6869</v>
          </cell>
          <cell r="N130" t="str">
            <v>이윤희</v>
          </cell>
          <cell r="O130" t="str">
            <v>리드개발/남호근</v>
          </cell>
          <cell r="P130" t="str">
            <v>주식회사 대산몰드</v>
          </cell>
        </row>
        <row r="131">
          <cell r="B131" t="str">
            <v>A6869</v>
          </cell>
          <cell r="D131" t="str">
            <v>SI1632</v>
          </cell>
          <cell r="F131">
            <v>4</v>
          </cell>
          <cell r="N131" t="str">
            <v>이윤희</v>
          </cell>
          <cell r="O131" t="str">
            <v>리드개발/남호근</v>
          </cell>
          <cell r="P131" t="str">
            <v>주식회사 대산몰드</v>
          </cell>
        </row>
        <row r="132">
          <cell r="B132" t="str">
            <v>A6869</v>
          </cell>
          <cell r="F132">
            <v>4</v>
          </cell>
          <cell r="N132" t="str">
            <v>이윤희</v>
          </cell>
          <cell r="O132" t="str">
            <v>리드개발/남호근</v>
          </cell>
          <cell r="P132" t="str">
            <v>주식회사 대산몰드</v>
          </cell>
        </row>
        <row r="133">
          <cell r="B133" t="str">
            <v>A6869</v>
          </cell>
          <cell r="D133" t="str">
            <v>SI1633</v>
          </cell>
          <cell r="F133">
            <v>4</v>
          </cell>
          <cell r="N133" t="str">
            <v>이윤희</v>
          </cell>
          <cell r="O133" t="str">
            <v>리드개발/남호근</v>
          </cell>
          <cell r="P133" t="str">
            <v>주식회사 대산몰드</v>
          </cell>
        </row>
        <row r="134">
          <cell r="B134" t="str">
            <v>A6869</v>
          </cell>
          <cell r="N134" t="str">
            <v>이윤희</v>
          </cell>
          <cell r="O134" t="str">
            <v>리드개발/남호근</v>
          </cell>
          <cell r="P134" t="str">
            <v>주식회사 대산몰드</v>
          </cell>
        </row>
        <row r="135">
          <cell r="B135" t="str">
            <v>A6869</v>
          </cell>
          <cell r="D135" t="str">
            <v>SI1634</v>
          </cell>
          <cell r="F135">
            <v>4</v>
          </cell>
          <cell r="N135" t="str">
            <v>이윤희</v>
          </cell>
          <cell r="O135" t="str">
            <v>리드개발/남호근</v>
          </cell>
          <cell r="P135" t="str">
            <v>주식회사 대산몰드</v>
          </cell>
        </row>
        <row r="136">
          <cell r="B136" t="str">
            <v>A6869</v>
          </cell>
          <cell r="N136" t="str">
            <v>이윤희</v>
          </cell>
          <cell r="O136" t="str">
            <v>리드개발/남호근</v>
          </cell>
          <cell r="P136" t="str">
            <v>주식회사 대산몰드</v>
          </cell>
        </row>
        <row r="137">
          <cell r="B137" t="str">
            <v>A6888</v>
          </cell>
          <cell r="D137">
            <v>7572322</v>
          </cell>
          <cell r="F137">
            <v>4</v>
          </cell>
          <cell r="N137" t="str">
            <v>홍서희</v>
          </cell>
          <cell r="P137" t="str">
            <v>주식회사 대산몰드</v>
          </cell>
        </row>
        <row r="138">
          <cell r="B138" t="str">
            <v>A6888</v>
          </cell>
          <cell r="D138" t="str">
            <v>SP0468</v>
          </cell>
          <cell r="F138">
            <v>4</v>
          </cell>
          <cell r="N138" t="str">
            <v>홍서희</v>
          </cell>
          <cell r="P138" t="str">
            <v>주식회사 대산몰드</v>
          </cell>
        </row>
        <row r="139">
          <cell r="B139" t="str">
            <v>A6888</v>
          </cell>
          <cell r="D139" t="str">
            <v>SC0188</v>
          </cell>
          <cell r="F139">
            <v>4</v>
          </cell>
          <cell r="N139" t="str">
            <v>홍서희</v>
          </cell>
          <cell r="P139" t="str">
            <v>주식회사 대산몰드</v>
          </cell>
        </row>
        <row r="140">
          <cell r="B140" t="str">
            <v>A6888</v>
          </cell>
          <cell r="D140" t="str">
            <v>SI1637</v>
          </cell>
          <cell r="F140">
            <v>4</v>
          </cell>
          <cell r="N140" t="str">
            <v>홍서희</v>
          </cell>
          <cell r="P140" t="str">
            <v>주식회사 대산몰드</v>
          </cell>
        </row>
        <row r="141">
          <cell r="B141" t="str">
            <v>A6888</v>
          </cell>
          <cell r="D141" t="str">
            <v>SC0189</v>
          </cell>
          <cell r="F141">
            <v>4</v>
          </cell>
          <cell r="N141" t="str">
            <v>홍서희</v>
          </cell>
          <cell r="P141" t="str">
            <v>주식회사 대산몰드</v>
          </cell>
        </row>
        <row r="142">
          <cell r="B142" t="str">
            <v>A6888</v>
          </cell>
          <cell r="D142" t="str">
            <v>SI1638</v>
          </cell>
          <cell r="F142">
            <v>4</v>
          </cell>
          <cell r="N142" t="str">
            <v>홍서희</v>
          </cell>
          <cell r="P142" t="str">
            <v>주식회사 대산몰드</v>
          </cell>
        </row>
        <row r="143">
          <cell r="B143" t="str">
            <v>A6888</v>
          </cell>
          <cell r="D143">
            <v>7572349</v>
          </cell>
          <cell r="F143">
            <v>4</v>
          </cell>
          <cell r="N143" t="str">
            <v>홍서희</v>
          </cell>
          <cell r="P143" t="str">
            <v>주식회사 대산몰드</v>
          </cell>
        </row>
        <row r="144">
          <cell r="B144" t="str">
            <v>A6888</v>
          </cell>
          <cell r="D144" t="str">
            <v>SP0471</v>
          </cell>
          <cell r="F144">
            <v>4</v>
          </cell>
          <cell r="N144" t="str">
            <v>홍서희</v>
          </cell>
          <cell r="P144" t="str">
            <v>주식회사 대산몰드</v>
          </cell>
        </row>
        <row r="145">
          <cell r="B145" t="str">
            <v>A6888</v>
          </cell>
          <cell r="D145" t="str">
            <v>SV0323</v>
          </cell>
          <cell r="F145">
            <v>4</v>
          </cell>
          <cell r="N145" t="str">
            <v>홍서희</v>
          </cell>
          <cell r="P145" t="str">
            <v>주식회사 대산몰드</v>
          </cell>
        </row>
        <row r="146">
          <cell r="B146" t="str">
            <v>A6888</v>
          </cell>
          <cell r="D146" t="str">
            <v>SI1218</v>
          </cell>
          <cell r="F146">
            <v>4</v>
          </cell>
          <cell r="N146" t="str">
            <v>홍서희</v>
          </cell>
          <cell r="P146" t="str">
            <v>주식회사 대산몰드</v>
          </cell>
        </row>
        <row r="147">
          <cell r="B147" t="str">
            <v>A6888</v>
          </cell>
          <cell r="D147" t="str">
            <v>SI1640</v>
          </cell>
          <cell r="F147">
            <v>4</v>
          </cell>
          <cell r="N147" t="str">
            <v>홍서희</v>
          </cell>
          <cell r="P147" t="str">
            <v>주식회사 대산몰드</v>
          </cell>
        </row>
        <row r="148">
          <cell r="B148" t="str">
            <v>A6888</v>
          </cell>
          <cell r="D148" t="str">
            <v>C00869</v>
          </cell>
          <cell r="N148" t="str">
            <v>홍서희</v>
          </cell>
          <cell r="P148" t="str">
            <v>주식회사 대산몰드</v>
          </cell>
        </row>
        <row r="149">
          <cell r="B149" t="str">
            <v>A6887</v>
          </cell>
          <cell r="D149">
            <v>7572327</v>
          </cell>
          <cell r="F149">
            <v>4</v>
          </cell>
          <cell r="N149" t="str">
            <v>홍서희</v>
          </cell>
          <cell r="P149" t="str">
            <v>주식회사 대산몰드</v>
          </cell>
        </row>
        <row r="150">
          <cell r="B150" t="str">
            <v>A6887</v>
          </cell>
          <cell r="D150" t="str">
            <v>SP0470</v>
          </cell>
          <cell r="F150">
            <v>4</v>
          </cell>
          <cell r="N150" t="str">
            <v>홍서희</v>
          </cell>
          <cell r="P150" t="str">
            <v>주식회사 대산몰드</v>
          </cell>
        </row>
        <row r="151">
          <cell r="B151" t="str">
            <v>A6887</v>
          </cell>
          <cell r="D151" t="str">
            <v>SV0322</v>
          </cell>
          <cell r="F151">
            <v>4</v>
          </cell>
          <cell r="N151" t="str">
            <v>홍서희</v>
          </cell>
          <cell r="P151" t="str">
            <v>주식회사 대산몰드</v>
          </cell>
        </row>
        <row r="152">
          <cell r="B152" t="str">
            <v>A6887</v>
          </cell>
          <cell r="D152" t="str">
            <v>SI1641</v>
          </cell>
          <cell r="F152">
            <v>4</v>
          </cell>
          <cell r="N152" t="str">
            <v>홍서희</v>
          </cell>
          <cell r="P152" t="str">
            <v>주식회사 대산몰드</v>
          </cell>
        </row>
        <row r="153">
          <cell r="B153" t="str">
            <v>A6887</v>
          </cell>
          <cell r="D153" t="str">
            <v>C00870</v>
          </cell>
          <cell r="N153" t="str">
            <v>홍서희</v>
          </cell>
          <cell r="P153" t="str">
            <v>주식회사 대산몰드</v>
          </cell>
        </row>
        <row r="154">
          <cell r="B154" t="str">
            <v>A6887</v>
          </cell>
          <cell r="D154">
            <v>7572328</v>
          </cell>
        </row>
        <row r="155">
          <cell r="B155" t="str">
            <v>A6887</v>
          </cell>
          <cell r="D155" t="str">
            <v>SP0469</v>
          </cell>
          <cell r="F155">
            <v>4</v>
          </cell>
          <cell r="N155" t="str">
            <v>홍서희</v>
          </cell>
          <cell r="P155" t="str">
            <v>주식회사 대산몰드</v>
          </cell>
        </row>
        <row r="156">
          <cell r="B156" t="str">
            <v>A6887</v>
          </cell>
          <cell r="D156" t="str">
            <v>SC0190</v>
          </cell>
          <cell r="F156">
            <v>4</v>
          </cell>
          <cell r="N156" t="str">
            <v>홍서희</v>
          </cell>
          <cell r="P156" t="str">
            <v>주식회사 대산몰드</v>
          </cell>
        </row>
        <row r="157">
          <cell r="B157" t="str">
            <v>A6887</v>
          </cell>
          <cell r="D157" t="str">
            <v>SI1643</v>
          </cell>
          <cell r="F157">
            <v>4</v>
          </cell>
          <cell r="N157" t="str">
            <v>홍서희</v>
          </cell>
          <cell r="P157" t="str">
            <v>주식회사 대산몰드</v>
          </cell>
        </row>
        <row r="158">
          <cell r="B158" t="str">
            <v>A6887</v>
          </cell>
          <cell r="D158" t="str">
            <v>SC0191</v>
          </cell>
          <cell r="F158">
            <v>4</v>
          </cell>
          <cell r="N158" t="str">
            <v>홍서희</v>
          </cell>
          <cell r="P158" t="str">
            <v>주식회사 대산몰드</v>
          </cell>
        </row>
        <row r="159">
          <cell r="B159" t="str">
            <v>A6887</v>
          </cell>
          <cell r="D159" t="str">
            <v>SI1642</v>
          </cell>
          <cell r="F159">
            <v>4</v>
          </cell>
          <cell r="N159" t="str">
            <v>홍서희</v>
          </cell>
          <cell r="P159" t="str">
            <v>주식회사 대산몰드</v>
          </cell>
        </row>
        <row r="160">
          <cell r="B160" t="str">
            <v>A6887</v>
          </cell>
          <cell r="D160" t="str">
            <v>C00871</v>
          </cell>
          <cell r="N160" t="str">
            <v>홍서희</v>
          </cell>
          <cell r="P160" t="str">
            <v>주식회사 대산몰드</v>
          </cell>
        </row>
        <row r="161">
          <cell r="B161" t="str">
            <v>A6898</v>
          </cell>
          <cell r="D161" t="str">
            <v>SC0197</v>
          </cell>
          <cell r="F161">
            <v>4</v>
          </cell>
        </row>
        <row r="162">
          <cell r="B162" t="str">
            <v>A6898</v>
          </cell>
          <cell r="D162" t="str">
            <v>SI1652</v>
          </cell>
          <cell r="F162">
            <v>4</v>
          </cell>
        </row>
        <row r="163">
          <cell r="B163" t="str">
            <v>A6898</v>
          </cell>
          <cell r="D163" t="str">
            <v>SV0324</v>
          </cell>
          <cell r="F163">
            <v>4</v>
          </cell>
        </row>
        <row r="164">
          <cell r="B164" t="str">
            <v>A6898</v>
          </cell>
          <cell r="D164" t="str">
            <v>SI1653</v>
          </cell>
          <cell r="F164">
            <v>2</v>
          </cell>
        </row>
        <row r="165">
          <cell r="B165" t="str">
            <v>A6898</v>
          </cell>
          <cell r="D165" t="str">
            <v>SI1654</v>
          </cell>
          <cell r="F165">
            <v>4</v>
          </cell>
        </row>
        <row r="166">
          <cell r="B166" t="str">
            <v>A6742</v>
          </cell>
          <cell r="D166" t="str">
            <v>SF0037</v>
          </cell>
          <cell r="F166">
            <v>4</v>
          </cell>
          <cell r="P166" t="str">
            <v>주식회사 대산몰드</v>
          </cell>
        </row>
        <row r="167">
          <cell r="B167" t="str">
            <v>A6742</v>
          </cell>
          <cell r="D167" t="str">
            <v>SI1655</v>
          </cell>
          <cell r="F167">
            <v>4</v>
          </cell>
          <cell r="P167" t="str">
            <v>주식회사 대산몰드</v>
          </cell>
        </row>
        <row r="168">
          <cell r="B168" t="str">
            <v>A5208, A6764</v>
          </cell>
          <cell r="D168" t="str">
            <v>SP0474</v>
          </cell>
          <cell r="F168">
            <v>8</v>
          </cell>
          <cell r="N168" t="str">
            <v>이성현</v>
          </cell>
        </row>
        <row r="169">
          <cell r="B169" t="str">
            <v>A5208, A6764</v>
          </cell>
          <cell r="D169" t="str">
            <v>SC0196</v>
          </cell>
          <cell r="F169">
            <v>8</v>
          </cell>
          <cell r="N169" t="str">
            <v>이성현</v>
          </cell>
        </row>
        <row r="170">
          <cell r="B170" t="str">
            <v>A5208, A6764</v>
          </cell>
          <cell r="D170" t="str">
            <v>SI1656</v>
          </cell>
          <cell r="F170">
            <v>8</v>
          </cell>
          <cell r="N170" t="str">
            <v>이성현</v>
          </cell>
        </row>
        <row r="171">
          <cell r="B171" t="str">
            <v>A5208, A6764</v>
          </cell>
          <cell r="D171" t="str">
            <v>SI1657</v>
          </cell>
          <cell r="F171">
            <v>8</v>
          </cell>
          <cell r="N171" t="str">
            <v>이성현</v>
          </cell>
        </row>
        <row r="172">
          <cell r="B172" t="str">
            <v>A5208, A6764</v>
          </cell>
          <cell r="F172">
            <v>8</v>
          </cell>
          <cell r="N172" t="str">
            <v>이성현</v>
          </cell>
        </row>
        <row r="173">
          <cell r="B173" t="str">
            <v>A5208, A6764</v>
          </cell>
          <cell r="F173">
            <v>8</v>
          </cell>
          <cell r="N173" t="str">
            <v>이성현</v>
          </cell>
        </row>
        <row r="174">
          <cell r="B174" t="str">
            <v>A6764</v>
          </cell>
          <cell r="F174">
            <v>8</v>
          </cell>
          <cell r="N174" t="str">
            <v>이성현</v>
          </cell>
        </row>
        <row r="175">
          <cell r="D175" t="str">
            <v>SP0472</v>
          </cell>
          <cell r="N175" t="str">
            <v>오형택</v>
          </cell>
        </row>
        <row r="176">
          <cell r="D176" t="str">
            <v>SC0192</v>
          </cell>
          <cell r="N176" t="str">
            <v>오형택</v>
          </cell>
        </row>
        <row r="177">
          <cell r="D177" t="str">
            <v>SC0193</v>
          </cell>
          <cell r="N177" t="str">
            <v>오형택</v>
          </cell>
        </row>
        <row r="178">
          <cell r="B178" t="str">
            <v>A5208, A6764</v>
          </cell>
          <cell r="D178" t="str">
            <v>SP0473</v>
          </cell>
          <cell r="N178" t="str">
            <v>오형택</v>
          </cell>
        </row>
        <row r="179">
          <cell r="B179" t="str">
            <v>A5208, A6764</v>
          </cell>
          <cell r="D179" t="str">
            <v>SC0194</v>
          </cell>
          <cell r="N179" t="str">
            <v>오형택</v>
          </cell>
        </row>
        <row r="180">
          <cell r="B180" t="str">
            <v>A5208, A6764</v>
          </cell>
          <cell r="D180" t="str">
            <v>SC0195</v>
          </cell>
          <cell r="N180" t="str">
            <v>오형택</v>
          </cell>
        </row>
        <row r="181">
          <cell r="B181" t="str">
            <v>A6944</v>
          </cell>
          <cell r="D181" t="str">
            <v>SI1661</v>
          </cell>
          <cell r="N181" t="str">
            <v>최재용</v>
          </cell>
        </row>
        <row r="182">
          <cell r="B182" t="str">
            <v>A6592</v>
          </cell>
          <cell r="D182" t="str">
            <v>SI1662</v>
          </cell>
        </row>
        <row r="183">
          <cell r="B183" t="str">
            <v>A6592</v>
          </cell>
          <cell r="D183" t="str">
            <v>SP0476</v>
          </cell>
        </row>
        <row r="184">
          <cell r="B184" t="str">
            <v>A6592</v>
          </cell>
          <cell r="D184" t="str">
            <v>SC0198</v>
          </cell>
        </row>
        <row r="185">
          <cell r="B185" t="str">
            <v>A6592</v>
          </cell>
          <cell r="D185" t="str">
            <v>SI1663</v>
          </cell>
        </row>
        <row r="186">
          <cell r="B186" t="str">
            <v>A6592</v>
          </cell>
          <cell r="D186" t="str">
            <v>SI1664</v>
          </cell>
        </row>
        <row r="187">
          <cell r="B187" t="str">
            <v>A6592</v>
          </cell>
          <cell r="D187" t="str">
            <v>SI1662</v>
          </cell>
        </row>
        <row r="188">
          <cell r="B188" t="str">
            <v>A6592</v>
          </cell>
          <cell r="D188" t="str">
            <v>SP0476</v>
          </cell>
        </row>
        <row r="189">
          <cell r="B189" t="str">
            <v>A6592</v>
          </cell>
          <cell r="D189" t="str">
            <v>SC0198</v>
          </cell>
        </row>
        <row r="190">
          <cell r="B190" t="str">
            <v>A6592</v>
          </cell>
          <cell r="D190" t="str">
            <v>SI1663</v>
          </cell>
        </row>
        <row r="191">
          <cell r="B191" t="str">
            <v>A6592</v>
          </cell>
          <cell r="D191" t="str">
            <v>SI1664</v>
          </cell>
        </row>
        <row r="192">
          <cell r="B192" t="str">
            <v>A4334</v>
          </cell>
          <cell r="D192" t="str">
            <v>SI1665</v>
          </cell>
          <cell r="F192">
            <v>4</v>
          </cell>
          <cell r="N192" t="str">
            <v>김관섭</v>
          </cell>
          <cell r="P192" t="str">
            <v>옥주정밀</v>
          </cell>
        </row>
        <row r="193">
          <cell r="B193" t="str">
            <v>A4334</v>
          </cell>
          <cell r="D193" t="str">
            <v>SI1666</v>
          </cell>
          <cell r="F193">
            <v>4</v>
          </cell>
          <cell r="N193" t="str">
            <v>김관섭</v>
          </cell>
          <cell r="P193" t="str">
            <v>옥주정밀</v>
          </cell>
        </row>
        <row r="194">
          <cell r="B194" t="str">
            <v>A4334</v>
          </cell>
          <cell r="D194" t="str">
            <v>SI1667</v>
          </cell>
          <cell r="F194">
            <v>4</v>
          </cell>
          <cell r="N194" t="str">
            <v>김관섭</v>
          </cell>
          <cell r="P194" t="str">
            <v>옥주정밀</v>
          </cell>
        </row>
        <row r="195">
          <cell r="B195" t="str">
            <v>A6918</v>
          </cell>
          <cell r="D195" t="str">
            <v>SI1668</v>
          </cell>
          <cell r="F195">
            <v>4</v>
          </cell>
          <cell r="N195" t="str">
            <v>권순우</v>
          </cell>
          <cell r="O195" t="str">
            <v>리드개발/남호근</v>
          </cell>
          <cell r="P195" t="str">
            <v>주식회사 대산몰드</v>
          </cell>
        </row>
        <row r="196">
          <cell r="B196" t="str">
            <v>A6918</v>
          </cell>
          <cell r="D196" t="str">
            <v>SK0094</v>
          </cell>
          <cell r="F196">
            <v>4</v>
          </cell>
          <cell r="N196" t="str">
            <v>권순우</v>
          </cell>
          <cell r="O196" t="str">
            <v>리드개발/남호근</v>
          </cell>
          <cell r="P196" t="str">
            <v>(주) 보람정밀</v>
          </cell>
        </row>
        <row r="197">
          <cell r="B197" t="str">
            <v>A6918</v>
          </cell>
          <cell r="D197" t="str">
            <v>SI1669</v>
          </cell>
          <cell r="F197">
            <v>4</v>
          </cell>
          <cell r="N197" t="str">
            <v>권순우</v>
          </cell>
          <cell r="O197" t="str">
            <v>리드개발/남호근</v>
          </cell>
          <cell r="P197" t="str">
            <v>(주) 보람정밀</v>
          </cell>
        </row>
        <row r="198">
          <cell r="B198" t="str">
            <v>A6918</v>
          </cell>
          <cell r="D198" t="str">
            <v>SI1670</v>
          </cell>
          <cell r="F198">
            <v>4</v>
          </cell>
          <cell r="N198" t="str">
            <v>권순우</v>
          </cell>
          <cell r="O198" t="str">
            <v>리드개발/남호근</v>
          </cell>
          <cell r="P198" t="str">
            <v>주식회사 대산몰드</v>
          </cell>
        </row>
        <row r="199">
          <cell r="B199" t="str">
            <v>A6918</v>
          </cell>
          <cell r="D199" t="str">
            <v>SP0481</v>
          </cell>
          <cell r="F199">
            <v>4</v>
          </cell>
          <cell r="N199" t="str">
            <v>권순우</v>
          </cell>
          <cell r="O199" t="str">
            <v>리드개발/남호근</v>
          </cell>
          <cell r="P199" t="str">
            <v>주식회사 대산몰드</v>
          </cell>
        </row>
        <row r="200">
          <cell r="B200" t="str">
            <v>A6918</v>
          </cell>
          <cell r="D200" t="str">
            <v>SP0480</v>
          </cell>
          <cell r="F200">
            <v>4</v>
          </cell>
          <cell r="N200" t="str">
            <v>권순우</v>
          </cell>
          <cell r="O200" t="str">
            <v>리드개발/남호근</v>
          </cell>
          <cell r="P200" t="str">
            <v>주식회사 대산몰드</v>
          </cell>
        </row>
        <row r="201">
          <cell r="B201" t="str">
            <v>A6918</v>
          </cell>
          <cell r="D201" t="str">
            <v>SI1671</v>
          </cell>
          <cell r="F201">
            <v>4</v>
          </cell>
          <cell r="N201" t="str">
            <v>권순우</v>
          </cell>
          <cell r="O201" t="str">
            <v>리드개발/남호근</v>
          </cell>
          <cell r="P201" t="str">
            <v>주식회사 대산몰드</v>
          </cell>
        </row>
        <row r="202">
          <cell r="B202" t="str">
            <v>A6937</v>
          </cell>
          <cell r="D202" t="str">
            <v>SP0489</v>
          </cell>
          <cell r="N202" t="str">
            <v>권현준</v>
          </cell>
          <cell r="O202" t="str">
            <v>지앤디/김영섭</v>
          </cell>
          <cell r="P202" t="str">
            <v>주식회사 대산몰드</v>
          </cell>
        </row>
        <row r="203">
          <cell r="B203" t="str">
            <v>A6937</v>
          </cell>
          <cell r="D203" t="str">
            <v>SV0326</v>
          </cell>
          <cell r="N203" t="str">
            <v>권현준</v>
          </cell>
          <cell r="O203" t="str">
            <v>지앤디/김영섭</v>
          </cell>
          <cell r="P203" t="str">
            <v>주식회사 대산몰드</v>
          </cell>
        </row>
        <row r="204">
          <cell r="B204" t="str">
            <v>A6937</v>
          </cell>
          <cell r="D204" t="str">
            <v>SI1672</v>
          </cell>
          <cell r="N204" t="str">
            <v>권현준</v>
          </cell>
          <cell r="O204" t="str">
            <v>지앤디/김영섭</v>
          </cell>
          <cell r="P204" t="str">
            <v>주식회사 대산몰드</v>
          </cell>
        </row>
        <row r="205">
          <cell r="B205" t="str">
            <v>A6937</v>
          </cell>
          <cell r="D205" t="str">
            <v>SI1673</v>
          </cell>
          <cell r="N205" t="str">
            <v>권현준</v>
          </cell>
          <cell r="O205" t="str">
            <v>지앤디/김영섭</v>
          </cell>
          <cell r="P205" t="str">
            <v>주식회사 대산몰드</v>
          </cell>
        </row>
        <row r="206">
          <cell r="B206" t="str">
            <v>A6937</v>
          </cell>
          <cell r="D206" t="str">
            <v>SI1674</v>
          </cell>
          <cell r="N206" t="str">
            <v>권현준</v>
          </cell>
          <cell r="O206" t="str">
            <v>지앤디/김영섭</v>
          </cell>
          <cell r="P206" t="str">
            <v>주식회사 대산몰드</v>
          </cell>
        </row>
        <row r="207">
          <cell r="B207" t="str">
            <v>A6937</v>
          </cell>
          <cell r="D207" t="str">
            <v>SI1675</v>
          </cell>
          <cell r="N207" t="str">
            <v>권현준</v>
          </cell>
          <cell r="O207" t="str">
            <v>지앤디/김영섭</v>
          </cell>
          <cell r="P207" t="str">
            <v>주식회사 대산몰드</v>
          </cell>
        </row>
        <row r="208">
          <cell r="B208" t="str">
            <v>A6937</v>
          </cell>
          <cell r="D208" t="str">
            <v>SI1676</v>
          </cell>
          <cell r="N208" t="str">
            <v>권현준</v>
          </cell>
          <cell r="O208" t="str">
            <v>지앤디/김영섭</v>
          </cell>
          <cell r="P208" t="str">
            <v>주식회사 대산몰드</v>
          </cell>
        </row>
        <row r="209">
          <cell r="B209" t="str">
            <v>JU21-1229</v>
          </cell>
        </row>
        <row r="210">
          <cell r="B210" t="str">
            <v>A4334</v>
          </cell>
          <cell r="D210" t="str">
            <v>SI1658</v>
          </cell>
          <cell r="F210">
            <v>4</v>
          </cell>
          <cell r="N210" t="str">
            <v>김관섭</v>
          </cell>
          <cell r="P210" t="str">
            <v>옥주정밀</v>
          </cell>
        </row>
        <row r="211">
          <cell r="B211" t="str">
            <v>A4334</v>
          </cell>
          <cell r="D211" t="str">
            <v>SI1659</v>
          </cell>
          <cell r="F211">
            <v>4</v>
          </cell>
          <cell r="N211" t="str">
            <v>김관섭</v>
          </cell>
          <cell r="P211" t="str">
            <v>옥주정밀</v>
          </cell>
        </row>
        <row r="212">
          <cell r="B212" t="str">
            <v>A4334</v>
          </cell>
          <cell r="D212" t="str">
            <v>SI1660</v>
          </cell>
          <cell r="F212">
            <v>4</v>
          </cell>
          <cell r="N212" t="str">
            <v>김관섭</v>
          </cell>
          <cell r="P212" t="str">
            <v>옥주정밀</v>
          </cell>
        </row>
        <row r="213">
          <cell r="B213" t="str">
            <v>A6797</v>
          </cell>
          <cell r="P213" t="str">
            <v>주식회사 대산몰드</v>
          </cell>
        </row>
        <row r="214">
          <cell r="B214" t="str">
            <v>A6797</v>
          </cell>
          <cell r="F214">
            <v>4</v>
          </cell>
          <cell r="P214" t="str">
            <v>주식회사 대산몰드</v>
          </cell>
        </row>
        <row r="215">
          <cell r="B215" t="str">
            <v>A6797</v>
          </cell>
          <cell r="F215">
            <v>4</v>
          </cell>
          <cell r="P215" t="str">
            <v>주식회사 대산몰드</v>
          </cell>
        </row>
        <row r="216">
          <cell r="B216" t="str">
            <v>A6797</v>
          </cell>
          <cell r="F216">
            <v>4</v>
          </cell>
          <cell r="P216" t="str">
            <v>주식회사 대산몰드</v>
          </cell>
        </row>
        <row r="217">
          <cell r="B217" t="str">
            <v>A6798</v>
          </cell>
          <cell r="D217" t="str">
            <v>SI1544</v>
          </cell>
          <cell r="F217">
            <v>4</v>
          </cell>
          <cell r="P217" t="str">
            <v>주식회사 대산몰드</v>
          </cell>
        </row>
        <row r="218">
          <cell r="B218" t="str">
            <v>A6798</v>
          </cell>
          <cell r="D218" t="str">
            <v>SI1545</v>
          </cell>
          <cell r="F218">
            <v>4</v>
          </cell>
          <cell r="P218" t="str">
            <v>주식회사 대산몰드</v>
          </cell>
        </row>
        <row r="219">
          <cell r="B219" t="str">
            <v>A6787</v>
          </cell>
          <cell r="F219">
            <v>4</v>
          </cell>
          <cell r="P219" t="str">
            <v>주식회사 대산몰드</v>
          </cell>
        </row>
        <row r="220">
          <cell r="B220" t="str">
            <v>A6787</v>
          </cell>
          <cell r="F220">
            <v>4</v>
          </cell>
          <cell r="P220" t="str">
            <v>주식회사 대산몰드</v>
          </cell>
        </row>
        <row r="221">
          <cell r="B221" t="str">
            <v>A6787</v>
          </cell>
          <cell r="F221">
            <v>4</v>
          </cell>
          <cell r="P221" t="str">
            <v>주식회사 대산몰드</v>
          </cell>
        </row>
        <row r="222">
          <cell r="B222" t="str">
            <v>A6787</v>
          </cell>
          <cell r="F222">
            <v>4</v>
          </cell>
          <cell r="P222" t="str">
            <v>주식회사 대산몰드</v>
          </cell>
        </row>
        <row r="223">
          <cell r="B223" t="str">
            <v>A6787</v>
          </cell>
          <cell r="F223">
            <v>4</v>
          </cell>
          <cell r="P223" t="str">
            <v>주식회사 대산몰드</v>
          </cell>
        </row>
        <row r="224">
          <cell r="B224" t="str">
            <v>A6205</v>
          </cell>
          <cell r="F224">
            <v>4</v>
          </cell>
          <cell r="P224" t="str">
            <v>구미에이텍</v>
          </cell>
        </row>
        <row r="225">
          <cell r="B225" t="str">
            <v>A6205</v>
          </cell>
          <cell r="D225" t="str">
            <v>SI1602</v>
          </cell>
          <cell r="F225">
            <v>8</v>
          </cell>
          <cell r="P225" t="str">
            <v>구미에이텍</v>
          </cell>
        </row>
        <row r="226">
          <cell r="B226" t="str">
            <v>A6205</v>
          </cell>
          <cell r="D226" t="str">
            <v>SP0479</v>
          </cell>
          <cell r="F226">
            <v>4</v>
          </cell>
          <cell r="P226" t="str">
            <v>구미에이텍</v>
          </cell>
        </row>
        <row r="227">
          <cell r="B227" t="str">
            <v>A6205</v>
          </cell>
          <cell r="D227" t="str">
            <v>SI1596</v>
          </cell>
          <cell r="F227">
            <v>4</v>
          </cell>
          <cell r="P227" t="str">
            <v>구미에이텍</v>
          </cell>
        </row>
        <row r="228">
          <cell r="B228" t="str">
            <v>A3553</v>
          </cell>
        </row>
        <row r="233">
          <cell r="N233" t="str">
            <v>손보배</v>
          </cell>
        </row>
        <row r="234">
          <cell r="D234" t="str">
            <v>SI1677</v>
          </cell>
        </row>
        <row r="235">
          <cell r="B235" t="str">
            <v>A6867</v>
          </cell>
          <cell r="F235">
            <v>1</v>
          </cell>
          <cell r="N235" t="str">
            <v>이윤희</v>
          </cell>
          <cell r="P235" t="str">
            <v>주식회사 대산몰드</v>
          </cell>
        </row>
        <row r="236">
          <cell r="B236" t="str">
            <v>A6867</v>
          </cell>
          <cell r="D236" t="str">
            <v>SI1678</v>
          </cell>
          <cell r="F236">
            <v>1</v>
          </cell>
          <cell r="N236" t="str">
            <v>이윤희</v>
          </cell>
          <cell r="P236" t="str">
            <v>주식회사 대산몰드</v>
          </cell>
        </row>
        <row r="237">
          <cell r="B237" t="str">
            <v>A6867</v>
          </cell>
          <cell r="F237">
            <v>1</v>
          </cell>
          <cell r="N237" t="str">
            <v>이윤희</v>
          </cell>
          <cell r="P237" t="str">
            <v>주식회사 대산몰드</v>
          </cell>
        </row>
        <row r="238">
          <cell r="B238" t="str">
            <v>A6867</v>
          </cell>
          <cell r="D238" t="str">
            <v>SI1679</v>
          </cell>
          <cell r="F238">
            <v>1</v>
          </cell>
          <cell r="N238" t="str">
            <v>이윤희</v>
          </cell>
          <cell r="P238" t="str">
            <v>주식회사 대산몰드</v>
          </cell>
        </row>
        <row r="239">
          <cell r="B239" t="str">
            <v>A6867</v>
          </cell>
          <cell r="N239" t="str">
            <v>이윤희</v>
          </cell>
        </row>
        <row r="240">
          <cell r="B240" t="str">
            <v>A6485</v>
          </cell>
          <cell r="D240" t="str">
            <v>SV0325</v>
          </cell>
          <cell r="F240">
            <v>4</v>
          </cell>
          <cell r="N240" t="str">
            <v>전상호</v>
          </cell>
          <cell r="P240" t="str">
            <v>주식회사 대산몰드</v>
          </cell>
        </row>
        <row r="241">
          <cell r="B241" t="str">
            <v>A6984</v>
          </cell>
          <cell r="D241" t="str">
            <v>7584578</v>
          </cell>
          <cell r="N241" t="str">
            <v>김지훈</v>
          </cell>
        </row>
        <row r="242">
          <cell r="B242" t="str">
            <v>A6984</v>
          </cell>
          <cell r="D242" t="str">
            <v>SC0199</v>
          </cell>
          <cell r="F242">
            <v>8</v>
          </cell>
          <cell r="N242" t="str">
            <v>김지훈</v>
          </cell>
          <cell r="O242" t="str">
            <v>리드개발/남호근</v>
          </cell>
          <cell r="P242" t="str">
            <v>주식회사 대산몰드</v>
          </cell>
        </row>
        <row r="243">
          <cell r="B243" t="str">
            <v>A6984</v>
          </cell>
          <cell r="D243" t="str">
            <v>SI1682</v>
          </cell>
          <cell r="F243">
            <v>8</v>
          </cell>
          <cell r="N243" t="str">
            <v>김지훈</v>
          </cell>
          <cell r="O243" t="str">
            <v>리드개발/남호근</v>
          </cell>
          <cell r="P243" t="str">
            <v>주식회사 대산몰드</v>
          </cell>
        </row>
        <row r="244">
          <cell r="B244" t="str">
            <v>A6984</v>
          </cell>
          <cell r="D244" t="str">
            <v>SI1683</v>
          </cell>
          <cell r="F244">
            <v>8</v>
          </cell>
          <cell r="N244" t="str">
            <v>김지훈</v>
          </cell>
          <cell r="O244" t="str">
            <v>리드개발/남호근</v>
          </cell>
          <cell r="P244" t="str">
            <v>주식회사 대산몰드</v>
          </cell>
        </row>
        <row r="245">
          <cell r="B245" t="str">
            <v>A6984</v>
          </cell>
          <cell r="D245" t="str">
            <v>SI1684</v>
          </cell>
          <cell r="F245">
            <v>8</v>
          </cell>
          <cell r="N245" t="str">
            <v>김지훈</v>
          </cell>
          <cell r="O245" t="str">
            <v>리드개발/남호근</v>
          </cell>
          <cell r="P245" t="str">
            <v>주식회사 대산몰드</v>
          </cell>
        </row>
        <row r="246">
          <cell r="B246" t="str">
            <v>A7001</v>
          </cell>
          <cell r="D246" t="str">
            <v>SI1685</v>
          </cell>
          <cell r="N246" t="str">
            <v>전미영</v>
          </cell>
          <cell r="O246" t="str">
            <v>리드개발/남호근</v>
          </cell>
          <cell r="P246" t="str">
            <v>주식회사 대산몰드</v>
          </cell>
        </row>
        <row r="247">
          <cell r="B247" t="str">
            <v>A6205</v>
          </cell>
          <cell r="D247" t="str">
            <v>SP0488</v>
          </cell>
          <cell r="F247">
            <v>4</v>
          </cell>
          <cell r="N247" t="str">
            <v>김지훈</v>
          </cell>
        </row>
        <row r="248">
          <cell r="B248" t="str">
            <v>A6205</v>
          </cell>
          <cell r="D248" t="str">
            <v>SC0200</v>
          </cell>
          <cell r="F248">
            <v>4</v>
          </cell>
          <cell r="N248" t="str">
            <v>김지훈</v>
          </cell>
        </row>
        <row r="249">
          <cell r="B249" t="str">
            <v>A6229</v>
          </cell>
          <cell r="D249" t="str">
            <v>SI1686</v>
          </cell>
          <cell r="F249">
            <v>8</v>
          </cell>
          <cell r="N249" t="str">
            <v>김지훈</v>
          </cell>
        </row>
        <row r="250">
          <cell r="B250" t="str">
            <v>A6205</v>
          </cell>
          <cell r="D250" t="str">
            <v>SC0201</v>
          </cell>
          <cell r="F250">
            <v>4</v>
          </cell>
          <cell r="N250" t="str">
            <v>김지훈</v>
          </cell>
        </row>
        <row r="251">
          <cell r="B251" t="str">
            <v>A6205</v>
          </cell>
          <cell r="D251" t="str">
            <v>SI1687</v>
          </cell>
          <cell r="F251">
            <v>4</v>
          </cell>
          <cell r="N251" t="str">
            <v>김지훈</v>
          </cell>
        </row>
        <row r="252">
          <cell r="B252" t="str">
            <v>DD001</v>
          </cell>
          <cell r="D252" t="str">
            <v>SI1688</v>
          </cell>
        </row>
        <row r="253">
          <cell r="B253" t="str">
            <v>DD001</v>
          </cell>
          <cell r="D253" t="str">
            <v>SI1689</v>
          </cell>
        </row>
        <row r="254">
          <cell r="B254" t="str">
            <v>DD001</v>
          </cell>
          <cell r="D254" t="str">
            <v>SI1690</v>
          </cell>
        </row>
        <row r="255">
          <cell r="B255" t="str">
            <v>DD001</v>
          </cell>
          <cell r="D255" t="str">
            <v>SI1691</v>
          </cell>
        </row>
        <row r="256">
          <cell r="B256" t="str">
            <v>DD001</v>
          </cell>
          <cell r="D256" t="str">
            <v>SI1692</v>
          </cell>
        </row>
        <row r="257">
          <cell r="B257" t="str">
            <v>DD001</v>
          </cell>
          <cell r="D257" t="str">
            <v>SI1693</v>
          </cell>
        </row>
        <row r="258">
          <cell r="B258" t="str">
            <v>A7011</v>
          </cell>
          <cell r="D258" t="str">
            <v>SI1695</v>
          </cell>
          <cell r="F258">
            <v>8</v>
          </cell>
          <cell r="N258" t="str">
            <v>이성현</v>
          </cell>
          <cell r="P258" t="str">
            <v>주식회사 대산몰드</v>
          </cell>
        </row>
        <row r="259">
          <cell r="B259" t="str">
            <v>A7010</v>
          </cell>
          <cell r="D259" t="str">
            <v>SI1694</v>
          </cell>
          <cell r="F259">
            <v>8</v>
          </cell>
          <cell r="N259" t="str">
            <v>이성현</v>
          </cell>
          <cell r="P259" t="str">
            <v>주식회사 대산몰드</v>
          </cell>
        </row>
        <row r="260">
          <cell r="B260" t="str">
            <v>A6491</v>
          </cell>
          <cell r="D260" t="str">
            <v>7588415</v>
          </cell>
        </row>
        <row r="261">
          <cell r="B261" t="str">
            <v>A6491</v>
          </cell>
          <cell r="D261" t="str">
            <v>SI1696</v>
          </cell>
        </row>
        <row r="262">
          <cell r="B262" t="str">
            <v>A6491</v>
          </cell>
          <cell r="D262" t="str">
            <v>SI1697</v>
          </cell>
        </row>
        <row r="263">
          <cell r="B263" t="str">
            <v>A5790</v>
          </cell>
          <cell r="D263" t="str">
            <v>7588984</v>
          </cell>
        </row>
        <row r="264">
          <cell r="B264" t="str">
            <v>A5790</v>
          </cell>
          <cell r="D264" t="str">
            <v>SI1698</v>
          </cell>
        </row>
        <row r="265">
          <cell r="B265" t="str">
            <v>A6849</v>
          </cell>
          <cell r="D265" t="str">
            <v>7590024</v>
          </cell>
        </row>
        <row r="266">
          <cell r="B266" t="str">
            <v>A6849</v>
          </cell>
          <cell r="D266" t="str">
            <v>SP0496</v>
          </cell>
        </row>
        <row r="267">
          <cell r="B267" t="str">
            <v>A6849</v>
          </cell>
          <cell r="D267" t="str">
            <v>SI1699</v>
          </cell>
        </row>
      </sheetData>
      <sheetData sheetId="1">
        <row r="1">
          <cell r="C1" t="str">
            <v>품목코드</v>
          </cell>
          <cell r="D1" t="str">
            <v>금형번호</v>
          </cell>
          <cell r="E1" t="str">
            <v>품목도면번호</v>
          </cell>
          <cell r="F1" t="str">
            <v>도면번호_버전</v>
          </cell>
          <cell r="G1" t="str">
            <v>도면이미지</v>
          </cell>
          <cell r="H1" t="str">
            <v>도면A</v>
          </cell>
          <cell r="I1" t="str">
            <v>도면A_규격명</v>
          </cell>
          <cell r="J1" t="str">
            <v>도면A_규격</v>
          </cell>
          <cell r="K1" t="str">
            <v>도면B</v>
          </cell>
          <cell r="L1" t="str">
            <v>도면B_규격명</v>
          </cell>
          <cell r="M1" t="str">
            <v>도면B_규격</v>
          </cell>
          <cell r="N1" t="str">
            <v>도면C</v>
          </cell>
          <cell r="O1" t="str">
            <v>도면C_규격명</v>
          </cell>
          <cell r="P1" t="str">
            <v>도면C_규격</v>
          </cell>
          <cell r="Q1" t="str">
            <v>완제품코드</v>
          </cell>
        </row>
        <row r="2">
          <cell r="C2" t="str">
            <v>SI1553</v>
          </cell>
          <cell r="D2" t="str">
            <v>M241285_01</v>
          </cell>
          <cell r="E2" t="str">
            <v>A6797_INNER CAP</v>
          </cell>
          <cell r="F2" t="str">
            <v>SI1553_2</v>
          </cell>
          <cell r="G2" t="e">
            <v>#VALUE!</v>
          </cell>
          <cell r="H2" t="e">
            <v>#VALUE!</v>
          </cell>
          <cell r="I2" t="str">
            <v>외경</v>
          </cell>
          <cell r="K2" t="e">
            <v>#VALUE!</v>
          </cell>
          <cell r="N2" t="e">
            <v>#VALUE!</v>
          </cell>
          <cell r="Q2">
            <v>7554030</v>
          </cell>
        </row>
        <row r="3">
          <cell r="C3" t="str">
            <v>SI1553</v>
          </cell>
          <cell r="D3" t="str">
            <v>M241285_01</v>
          </cell>
          <cell r="E3" t="str">
            <v>A6797_INNER CAP</v>
          </cell>
          <cell r="F3" t="str">
            <v>SI1553_1012</v>
          </cell>
          <cell r="G3" t="e">
            <v>#VALUE!</v>
          </cell>
          <cell r="H3" t="e">
            <v>#VALUE!</v>
          </cell>
          <cell r="I3" t="str">
            <v>외경</v>
          </cell>
          <cell r="J3" t="str">
            <v>⌀32.4±0.1</v>
          </cell>
          <cell r="K3" t="e">
            <v>#VALUE!</v>
          </cell>
          <cell r="L3" t="str">
            <v>나사경</v>
          </cell>
          <cell r="M3" t="str">
            <v>⌀12.4±0.1</v>
          </cell>
          <cell r="N3" t="e">
            <v>#VALUE!</v>
          </cell>
          <cell r="Q3">
            <v>7554030</v>
          </cell>
        </row>
        <row r="4">
          <cell r="C4" t="str">
            <v>SI1554</v>
          </cell>
          <cell r="D4" t="str">
            <v>M241286_01</v>
          </cell>
          <cell r="E4" t="str">
            <v>A6797_OUTER CAP</v>
          </cell>
          <cell r="F4" t="str">
            <v>SI1554_820</v>
          </cell>
          <cell r="G4" t="e">
            <v>#VALUE!</v>
          </cell>
          <cell r="H4" t="e">
            <v>#VALUE!</v>
          </cell>
          <cell r="I4" t="str">
            <v>외경</v>
          </cell>
          <cell r="K4" t="e">
            <v>#VALUE!</v>
          </cell>
          <cell r="N4" t="e">
            <v>#VALUE!</v>
          </cell>
          <cell r="Q4">
            <v>7554030</v>
          </cell>
        </row>
        <row r="5">
          <cell r="C5" t="str">
            <v>SI1554</v>
          </cell>
          <cell r="D5" t="str">
            <v>M241286_01</v>
          </cell>
          <cell r="E5" t="str">
            <v>A6797_OUTER CAP</v>
          </cell>
          <cell r="F5" t="str">
            <v>SI1554_1108</v>
          </cell>
          <cell r="G5" t="e">
            <v>#VALUE!</v>
          </cell>
          <cell r="H5" t="e">
            <v>#VALUE!</v>
          </cell>
          <cell r="I5" t="str">
            <v>외경</v>
          </cell>
          <cell r="J5" t="str">
            <v>⌀34.45±0.1</v>
          </cell>
          <cell r="K5" t="e">
            <v>#VALUE!</v>
          </cell>
          <cell r="L5" t="str">
            <v>언더컷</v>
          </cell>
          <cell r="M5" t="str">
            <v>⌀31.4±0.1</v>
          </cell>
          <cell r="N5" t="e">
            <v>#VALUE!</v>
          </cell>
          <cell r="Q5">
            <v>7554030</v>
          </cell>
        </row>
        <row r="6">
          <cell r="C6" t="str">
            <v>SI1537</v>
          </cell>
          <cell r="D6" t="str">
            <v>M241247_01</v>
          </cell>
          <cell r="E6" t="str">
            <v>A6787_CAP DECO</v>
          </cell>
          <cell r="G6" t="e">
            <v>#VALUE!</v>
          </cell>
          <cell r="H6" t="e">
            <v>#VALUE!</v>
          </cell>
          <cell r="I6" t="str">
            <v>외경</v>
          </cell>
          <cell r="J6" t="str">
            <v>⌀45.4±0.1</v>
          </cell>
          <cell r="K6" t="e">
            <v>#VALUE!</v>
          </cell>
          <cell r="L6" t="str">
            <v>내경</v>
          </cell>
          <cell r="M6" t="str">
            <v>⌀42.2±0.1</v>
          </cell>
          <cell r="N6" t="e">
            <v>#VALUE!</v>
          </cell>
          <cell r="O6" t="str">
            <v>언더컷</v>
          </cell>
          <cell r="P6" t="str">
            <v>⌀43.2±0.1</v>
          </cell>
          <cell r="Q6">
            <v>7552827</v>
          </cell>
        </row>
        <row r="7">
          <cell r="C7" t="str">
            <v>SI1537</v>
          </cell>
          <cell r="D7" t="str">
            <v>M241247_01</v>
          </cell>
          <cell r="E7" t="str">
            <v>A6787_CAP DECO</v>
          </cell>
          <cell r="F7" t="str">
            <v>SI1537_808</v>
          </cell>
          <cell r="G7" t="e">
            <v>#VALUE!</v>
          </cell>
          <cell r="H7" t="e">
            <v>#VALUE!</v>
          </cell>
          <cell r="I7" t="str">
            <v>외경</v>
          </cell>
          <cell r="J7" t="str">
            <v>⌀45.4±0.1</v>
          </cell>
          <cell r="K7" t="e">
            <v>#VALUE!</v>
          </cell>
          <cell r="L7" t="str">
            <v>내경</v>
          </cell>
          <cell r="M7" t="str">
            <v>⌀42.2±0.1</v>
          </cell>
          <cell r="N7" t="e">
            <v>#VALUE!</v>
          </cell>
          <cell r="O7" t="str">
            <v>언더컷</v>
          </cell>
          <cell r="P7" t="str">
            <v>⌀43.2±0.1</v>
          </cell>
          <cell r="Q7">
            <v>7552827</v>
          </cell>
        </row>
        <row r="8">
          <cell r="C8" t="str">
            <v>SI1538</v>
          </cell>
          <cell r="D8" t="str">
            <v>M241246_01</v>
          </cell>
          <cell r="E8" t="str">
            <v>A6787_OUTER CAP</v>
          </cell>
          <cell r="F8" t="str">
            <v>SI1538_727</v>
          </cell>
          <cell r="G8" t="e">
            <v>#VALUE!</v>
          </cell>
          <cell r="H8" t="e">
            <v>#VALUE!</v>
          </cell>
          <cell r="I8" t="str">
            <v>외경</v>
          </cell>
          <cell r="J8" t="str">
            <v>⌀48.7±</v>
          </cell>
          <cell r="K8" t="e">
            <v>#VALUE!</v>
          </cell>
          <cell r="L8" t="str">
            <v>내경</v>
          </cell>
          <cell r="M8" t="str">
            <v>⌀45.9</v>
          </cell>
          <cell r="N8" t="e">
            <v>#VALUE!</v>
          </cell>
          <cell r="O8" t="str">
            <v>언더컷</v>
          </cell>
          <cell r="Q8">
            <v>7552827</v>
          </cell>
        </row>
        <row r="9">
          <cell r="C9" t="str">
            <v>SI1539</v>
          </cell>
          <cell r="D9" t="str">
            <v>M241245_01</v>
          </cell>
          <cell r="E9" t="str">
            <v>A6787_INNER CAP</v>
          </cell>
          <cell r="F9" t="str">
            <v>SI1539_2</v>
          </cell>
          <cell r="G9" t="e">
            <v>#VALUE!</v>
          </cell>
          <cell r="H9" t="e">
            <v>#VALUE!</v>
          </cell>
          <cell r="I9" t="str">
            <v>외경</v>
          </cell>
          <cell r="K9" t="e">
            <v>#VALUE!</v>
          </cell>
          <cell r="N9" t="e">
            <v>#VALUE!</v>
          </cell>
          <cell r="Q9">
            <v>7552827</v>
          </cell>
        </row>
        <row r="10">
          <cell r="C10" t="str">
            <v>SI1539</v>
          </cell>
          <cell r="D10" t="str">
            <v>M241245_01</v>
          </cell>
          <cell r="E10" t="str">
            <v>A6787_INNER CAP</v>
          </cell>
          <cell r="F10" t="str">
            <v>SI1539_1021</v>
          </cell>
          <cell r="G10" t="e">
            <v>#VALUE!</v>
          </cell>
          <cell r="H10" t="e">
            <v>#VALUE!</v>
          </cell>
          <cell r="I10" t="str">
            <v>외경</v>
          </cell>
          <cell r="J10" t="str">
            <v>⌀45.7±0.1</v>
          </cell>
          <cell r="K10" t="e">
            <v>#VALUE!</v>
          </cell>
          <cell r="L10" t="str">
            <v>나사경</v>
          </cell>
          <cell r="M10" t="str">
            <v>⌀17.7±0.1</v>
          </cell>
          <cell r="N10" t="e">
            <v>#VALUE!</v>
          </cell>
          <cell r="Q10">
            <v>7552827</v>
          </cell>
        </row>
        <row r="11">
          <cell r="C11" t="str">
            <v>SI1540</v>
          </cell>
          <cell r="D11" t="str">
            <v>M241344_01</v>
          </cell>
          <cell r="E11" t="str">
            <v>A6801_CAP DECO</v>
          </cell>
          <cell r="G11" t="e">
            <v>#VALUE!</v>
          </cell>
          <cell r="H11" t="e">
            <v>#VALUE!</v>
          </cell>
          <cell r="I11" t="str">
            <v>외경</v>
          </cell>
          <cell r="K11" t="e">
            <v>#VALUE!</v>
          </cell>
          <cell r="L11" t="str">
            <v>언더컷</v>
          </cell>
          <cell r="N11" t="e">
            <v>#VALUE!</v>
          </cell>
          <cell r="Q11">
            <v>7555211</v>
          </cell>
        </row>
        <row r="12">
          <cell r="C12" t="str">
            <v>SI1540</v>
          </cell>
          <cell r="D12" t="str">
            <v>M241344_01</v>
          </cell>
          <cell r="E12" t="str">
            <v>A6801_CAP DECO</v>
          </cell>
          <cell r="F12" t="str">
            <v>SI1540_1023</v>
          </cell>
          <cell r="G12" t="e">
            <v>#VALUE!</v>
          </cell>
          <cell r="H12" t="e">
            <v>#VALUE!</v>
          </cell>
          <cell r="I12" t="str">
            <v>외경</v>
          </cell>
          <cell r="J12" t="str">
            <v>⌀74.4±0.1</v>
          </cell>
          <cell r="K12" t="e">
            <v>#VALUE!</v>
          </cell>
          <cell r="L12" t="str">
            <v>언더컷</v>
          </cell>
          <cell r="Q12">
            <v>7555211</v>
          </cell>
        </row>
        <row r="13">
          <cell r="C13" t="str">
            <v>SI1540</v>
          </cell>
          <cell r="D13" t="str">
            <v>M241344_01</v>
          </cell>
          <cell r="E13" t="str">
            <v>A6801_CAP DECO</v>
          </cell>
          <cell r="F13" t="str">
            <v>SI1540_1106</v>
          </cell>
          <cell r="G13" t="e">
            <v>#VALUE!</v>
          </cell>
          <cell r="H13" t="e">
            <v>#VALUE!</v>
          </cell>
          <cell r="I13" t="str">
            <v>외경</v>
          </cell>
          <cell r="J13" t="str">
            <v>⌀74.5±0.1</v>
          </cell>
          <cell r="K13" t="e">
            <v>#VALUE!</v>
          </cell>
          <cell r="L13" t="str">
            <v>언더컷</v>
          </cell>
          <cell r="N13" t="e">
            <v>#VALUE!</v>
          </cell>
          <cell r="Q13">
            <v>7555211</v>
          </cell>
        </row>
        <row r="14">
          <cell r="C14" t="str">
            <v>SI1540</v>
          </cell>
          <cell r="D14" t="str">
            <v>M241344_01</v>
          </cell>
          <cell r="E14" t="str">
            <v>A6801_CAP DECO</v>
          </cell>
          <cell r="F14" t="str">
            <v>SI1540_1118</v>
          </cell>
          <cell r="G14" t="e">
            <v>#VALUE!</v>
          </cell>
          <cell r="H14" t="e">
            <v>#VALUE!</v>
          </cell>
          <cell r="I14" t="str">
            <v>외경</v>
          </cell>
          <cell r="J14" t="str">
            <v>⌀74.5±0.1</v>
          </cell>
          <cell r="K14" t="e">
            <v>#VALUE!</v>
          </cell>
          <cell r="L14" t="str">
            <v>언더컷</v>
          </cell>
          <cell r="M14" t="str">
            <v>⌀47.0±0.1</v>
          </cell>
          <cell r="N14" t="e">
            <v>#VALUE!</v>
          </cell>
          <cell r="Q14">
            <v>7555211</v>
          </cell>
        </row>
        <row r="15">
          <cell r="C15" t="str">
            <v>SI1541</v>
          </cell>
          <cell r="D15" t="str">
            <v>M241342_01</v>
          </cell>
          <cell r="E15" t="str">
            <v>A6801_OUTER CAP</v>
          </cell>
          <cell r="G15" t="e">
            <v>#VALUE!</v>
          </cell>
          <cell r="H15" t="e">
            <v>#VALUE!</v>
          </cell>
          <cell r="I15" t="str">
            <v>외경</v>
          </cell>
          <cell r="K15" t="e">
            <v>#VALUE!</v>
          </cell>
          <cell r="L15" t="str">
            <v>언더컷</v>
          </cell>
          <cell r="N15" t="e">
            <v>#VALUE!</v>
          </cell>
          <cell r="Q15">
            <v>7555211</v>
          </cell>
        </row>
        <row r="16">
          <cell r="C16" t="str">
            <v>SI1541</v>
          </cell>
          <cell r="D16" t="str">
            <v>M241342_01</v>
          </cell>
          <cell r="E16" t="str">
            <v>A6801_OUTER CAP</v>
          </cell>
          <cell r="F16" t="str">
            <v>SI1541_1118</v>
          </cell>
          <cell r="G16" t="e">
            <v>#VALUE!</v>
          </cell>
          <cell r="H16" t="e">
            <v>#VALUE!</v>
          </cell>
          <cell r="I16" t="str">
            <v>내경</v>
          </cell>
          <cell r="J16" t="str">
            <v>⌀72.1±0.1</v>
          </cell>
          <cell r="K16" t="e">
            <v>#VALUE!</v>
          </cell>
          <cell r="L16" t="str">
            <v>외경</v>
          </cell>
          <cell r="M16" t="str">
            <v>⌀74.8±0.1</v>
          </cell>
          <cell r="N16" t="e">
            <v>#VALUE!</v>
          </cell>
          <cell r="O16" t="str">
            <v>리브</v>
          </cell>
          <cell r="P16" t="str">
            <v>⌀62.1±0.1</v>
          </cell>
          <cell r="Q16">
            <v>7555211</v>
          </cell>
        </row>
        <row r="17">
          <cell r="C17" t="str">
            <v>SI1541</v>
          </cell>
          <cell r="D17" t="str">
            <v>M241342_01</v>
          </cell>
          <cell r="E17" t="str">
            <v>A6801_OUTER CAP</v>
          </cell>
          <cell r="F17" t="str">
            <v>SI1541_1212</v>
          </cell>
          <cell r="G17" t="e">
            <v>#VALUE!</v>
          </cell>
          <cell r="H17" t="e">
            <v>#VALUE!</v>
          </cell>
          <cell r="I17" t="str">
            <v>내경</v>
          </cell>
          <cell r="J17" t="str">
            <v>⌀72.1±0.1</v>
          </cell>
          <cell r="K17" t="e">
            <v>#VALUE!</v>
          </cell>
          <cell r="L17" t="str">
            <v>외경</v>
          </cell>
          <cell r="M17" t="str">
            <v>⌀74.8±0.1</v>
          </cell>
          <cell r="N17" t="e">
            <v>#VALUE!</v>
          </cell>
          <cell r="O17" t="str">
            <v>리브</v>
          </cell>
          <cell r="P17" t="str">
            <v>⌀62.1±0.1</v>
          </cell>
          <cell r="Q17">
            <v>7555211</v>
          </cell>
        </row>
        <row r="18">
          <cell r="C18" t="str">
            <v>SI1542</v>
          </cell>
          <cell r="D18" t="str">
            <v>M241343_01</v>
          </cell>
          <cell r="E18" t="str">
            <v>A6801_INNER CAP</v>
          </cell>
          <cell r="G18" t="e">
            <v>#VALUE!</v>
          </cell>
          <cell r="H18" t="e">
            <v>#VALUE!</v>
          </cell>
          <cell r="I18" t="str">
            <v>내경</v>
          </cell>
          <cell r="K18" t="e">
            <v>#VALUE!</v>
          </cell>
          <cell r="L18" t="str">
            <v>나사경</v>
          </cell>
          <cell r="N18" t="e">
            <v>#VALUE!</v>
          </cell>
          <cell r="O18" t="str">
            <v>언더컷</v>
          </cell>
          <cell r="Q18">
            <v>7555211</v>
          </cell>
        </row>
        <row r="19">
          <cell r="C19" t="str">
            <v>SI1542</v>
          </cell>
          <cell r="D19" t="str">
            <v>M241343_01</v>
          </cell>
          <cell r="E19" t="str">
            <v>A6801_INNER CAP</v>
          </cell>
          <cell r="F19" t="str">
            <v>SI1542_1023</v>
          </cell>
          <cell r="G19" t="e">
            <v>#VALUE!</v>
          </cell>
          <cell r="H19" t="e">
            <v>#VALUE!</v>
          </cell>
          <cell r="I19" t="str">
            <v>내경</v>
          </cell>
          <cell r="L19" t="str">
            <v>나사경</v>
          </cell>
          <cell r="O19" t="str">
            <v>언더컷</v>
          </cell>
          <cell r="Q19">
            <v>7555211</v>
          </cell>
        </row>
        <row r="20">
          <cell r="C20" t="str">
            <v>SI1542</v>
          </cell>
          <cell r="D20" t="str">
            <v>M241343_01</v>
          </cell>
          <cell r="E20" t="str">
            <v>A6801_INNER CAP</v>
          </cell>
          <cell r="F20" t="str">
            <v>SI1542_1106</v>
          </cell>
          <cell r="G20" t="e">
            <v>#VALUE!</v>
          </cell>
          <cell r="H20" t="e">
            <v>#VALUE!</v>
          </cell>
          <cell r="I20" t="str">
            <v>내경</v>
          </cell>
          <cell r="J20" t="str">
            <v>⌀60.5±0.1</v>
          </cell>
          <cell r="K20" t="e">
            <v>#VALUE!</v>
          </cell>
          <cell r="L20" t="str">
            <v>나사경</v>
          </cell>
          <cell r="M20" t="str">
            <v>⌀58.5±0.1</v>
          </cell>
          <cell r="N20" t="e">
            <v>#VALUE!</v>
          </cell>
          <cell r="O20" t="str">
            <v>외경</v>
          </cell>
          <cell r="P20" t="str">
            <v>⌀74.9±0.1</v>
          </cell>
          <cell r="Q20">
            <v>7555211</v>
          </cell>
        </row>
        <row r="21">
          <cell r="C21" t="str">
            <v>SI1542</v>
          </cell>
          <cell r="D21" t="str">
            <v>M241343_01</v>
          </cell>
          <cell r="E21" t="str">
            <v>A6801_INNER CAP</v>
          </cell>
          <cell r="F21" t="str">
            <v>SI1542_1118</v>
          </cell>
          <cell r="G21" t="e">
            <v>#VALUE!</v>
          </cell>
          <cell r="H21" t="e">
            <v>#VALUE!</v>
          </cell>
          <cell r="K21" t="e">
            <v>#VALUE!</v>
          </cell>
          <cell r="N21" t="e">
            <v>#VALUE!</v>
          </cell>
          <cell r="Q21">
            <v>7555211</v>
          </cell>
        </row>
        <row r="22">
          <cell r="C22" t="str">
            <v>SI1542</v>
          </cell>
          <cell r="D22" t="str">
            <v>M241343_01</v>
          </cell>
          <cell r="E22" t="str">
            <v>A6801_INNER CAP</v>
          </cell>
          <cell r="F22" t="str">
            <v>SI1542_1203</v>
          </cell>
          <cell r="G22" t="e">
            <v>#VALUE!</v>
          </cell>
          <cell r="H22" t="e">
            <v>#VALUE!</v>
          </cell>
          <cell r="J22" t="str">
            <v>⌀71.6±0.1</v>
          </cell>
          <cell r="K22" t="e">
            <v>#VALUE!</v>
          </cell>
          <cell r="L22" t="str">
            <v>나사경</v>
          </cell>
          <cell r="M22" t="str">
            <v>⌀58.5±0.1</v>
          </cell>
          <cell r="N22" t="e">
            <v>#VALUE!</v>
          </cell>
          <cell r="Q22">
            <v>7555211</v>
          </cell>
        </row>
        <row r="23">
          <cell r="C23" t="str">
            <v>SI1542</v>
          </cell>
          <cell r="D23" t="str">
            <v>M241343_01</v>
          </cell>
          <cell r="E23" t="str">
            <v>A6801_INNER CAP</v>
          </cell>
          <cell r="F23" t="str">
            <v>SI1542_1212</v>
          </cell>
          <cell r="G23" t="e">
            <v>#VALUE!</v>
          </cell>
          <cell r="H23" t="e">
            <v>#VALUE!</v>
          </cell>
          <cell r="J23" t="str">
            <v>⌀71.6±0.1</v>
          </cell>
          <cell r="K23" t="e">
            <v>#VALUE!</v>
          </cell>
          <cell r="L23" t="str">
            <v>나사경</v>
          </cell>
          <cell r="M23" t="str">
            <v>⌀58.5±0.1</v>
          </cell>
          <cell r="N23" t="e">
            <v>#VALUE!</v>
          </cell>
          <cell r="Q23">
            <v>7555211</v>
          </cell>
        </row>
        <row r="24">
          <cell r="C24" t="str">
            <v>SI1543</v>
          </cell>
          <cell r="D24" t="str">
            <v>M241341_01</v>
          </cell>
          <cell r="E24" t="str">
            <v>A6801_INNER JAR</v>
          </cell>
          <cell r="F24" t="str">
            <v>SI1543_903</v>
          </cell>
          <cell r="G24" t="e">
            <v>#VALUE!</v>
          </cell>
          <cell r="H24" t="e">
            <v>#VALUE!</v>
          </cell>
          <cell r="I24" t="str">
            <v>리브</v>
          </cell>
          <cell r="J24" t="str">
            <v>⌀51.55±0.1</v>
          </cell>
          <cell r="K24" t="e">
            <v>#VALUE!</v>
          </cell>
          <cell r="L24" t="str">
            <v>외경</v>
          </cell>
          <cell r="M24" t="str">
            <v>⌀56.9±0.1</v>
          </cell>
          <cell r="N24" t="e">
            <v>#VALUE!</v>
          </cell>
          <cell r="Q24">
            <v>7555210</v>
          </cell>
        </row>
        <row r="25">
          <cell r="C25" t="str">
            <v>SI1543</v>
          </cell>
          <cell r="D25" t="str">
            <v>M241341_01</v>
          </cell>
          <cell r="E25" t="str">
            <v>A6801_INNER JAR</v>
          </cell>
          <cell r="F25" t="str">
            <v>SI1543_1106</v>
          </cell>
          <cell r="G25" t="e">
            <v>#VALUE!</v>
          </cell>
          <cell r="H25" t="e">
            <v>#VALUE!</v>
          </cell>
          <cell r="I25" t="str">
            <v>리브</v>
          </cell>
          <cell r="J25" t="str">
            <v>⌀51.55±0.1</v>
          </cell>
          <cell r="K25" t="e">
            <v>#VALUE!</v>
          </cell>
          <cell r="L25" t="str">
            <v>외경</v>
          </cell>
          <cell r="M25" t="str">
            <v>⌀56.9±0.1</v>
          </cell>
          <cell r="N25" t="e">
            <v>#VALUE!</v>
          </cell>
          <cell r="Q25">
            <v>7555210</v>
          </cell>
        </row>
        <row r="26">
          <cell r="C26" t="str">
            <v>SI1543</v>
          </cell>
          <cell r="D26" t="str">
            <v>M241341_01</v>
          </cell>
          <cell r="E26" t="str">
            <v>A6801_INNER JAR</v>
          </cell>
          <cell r="F26" t="str">
            <v>SI1543_250205</v>
          </cell>
          <cell r="G26" t="e">
            <v>#VALUE!</v>
          </cell>
          <cell r="H26" t="e">
            <v>#VALUE!</v>
          </cell>
          <cell r="I26" t="str">
            <v>외경</v>
          </cell>
          <cell r="J26" t="str">
            <v>⌀56.9±0.1</v>
          </cell>
          <cell r="K26" t="e">
            <v>#VALUE!</v>
          </cell>
          <cell r="L26" t="str">
            <v>리브</v>
          </cell>
          <cell r="M26" t="str">
            <v>⌀51.55±0.1</v>
          </cell>
          <cell r="Q26">
            <v>7555210</v>
          </cell>
        </row>
        <row r="27">
          <cell r="C27" t="str">
            <v>SI1544</v>
          </cell>
          <cell r="D27" t="str">
            <v>M241283_01</v>
          </cell>
          <cell r="E27" t="str">
            <v>A6798_OUTER CAP</v>
          </cell>
          <cell r="G27" t="e">
            <v>#VALUE!</v>
          </cell>
          <cell r="H27" t="e">
            <v>#VALUE!</v>
          </cell>
          <cell r="I27" t="str">
            <v>외경</v>
          </cell>
          <cell r="J27" t="str">
            <v>⌀24.6±0.1</v>
          </cell>
          <cell r="K27" t="e">
            <v>#VALUE!</v>
          </cell>
          <cell r="L27" t="str">
            <v>내경</v>
          </cell>
          <cell r="M27" t="str">
            <v>⌀21.6±0.1</v>
          </cell>
          <cell r="N27" t="e">
            <v>#VALUE!</v>
          </cell>
          <cell r="Q27">
            <v>7554029</v>
          </cell>
        </row>
        <row r="28">
          <cell r="C28" t="str">
            <v>SI1545</v>
          </cell>
          <cell r="D28" t="str">
            <v>M241282_01</v>
          </cell>
          <cell r="E28" t="str">
            <v>A6798_INNER CAP</v>
          </cell>
          <cell r="F28" t="str">
            <v>SI1545_819</v>
          </cell>
          <cell r="G28" t="e">
            <v>#VALUE!</v>
          </cell>
          <cell r="H28" t="e">
            <v>#VALUE!</v>
          </cell>
          <cell r="I28" t="str">
            <v>외경</v>
          </cell>
          <cell r="K28" t="e">
            <v>#VALUE!</v>
          </cell>
          <cell r="L28" t="str">
            <v>나사경</v>
          </cell>
          <cell r="N28" t="e">
            <v>#VALUE!</v>
          </cell>
          <cell r="Q28">
            <v>7554029</v>
          </cell>
        </row>
        <row r="29">
          <cell r="C29" t="str">
            <v>SI1545</v>
          </cell>
          <cell r="D29" t="str">
            <v>M241282_01</v>
          </cell>
          <cell r="E29" t="str">
            <v>A6798_INNER CAP</v>
          </cell>
          <cell r="F29" t="str">
            <v>SI1545_1019</v>
          </cell>
          <cell r="G29" t="e">
            <v>#VALUE!</v>
          </cell>
          <cell r="H29" t="e">
            <v>#VALUE!</v>
          </cell>
          <cell r="I29" t="str">
            <v>언더컷</v>
          </cell>
          <cell r="J29" t="str">
            <v>⌀22.7±0.1</v>
          </cell>
          <cell r="K29" t="e">
            <v>#VALUE!</v>
          </cell>
          <cell r="L29" t="str">
            <v>나사경</v>
          </cell>
          <cell r="M29" t="str">
            <v>⌀10.9±0.1</v>
          </cell>
          <cell r="N29" t="e">
            <v>#VALUE!</v>
          </cell>
          <cell r="Q29">
            <v>7554029</v>
          </cell>
        </row>
        <row r="30">
          <cell r="C30" t="str">
            <v>SI0993</v>
          </cell>
          <cell r="D30" t="str">
            <v>M241294_02</v>
          </cell>
          <cell r="G30" t="e">
            <v>#VALUE!</v>
          </cell>
          <cell r="H30" t="e">
            <v>#VALUE!</v>
          </cell>
          <cell r="I30" t="str">
            <v>외경</v>
          </cell>
          <cell r="K30" t="e">
            <v>#VALUE!</v>
          </cell>
          <cell r="L30" t="str">
            <v>나사경</v>
          </cell>
        </row>
        <row r="31">
          <cell r="C31" t="str">
            <v>SI0993</v>
          </cell>
          <cell r="D31" t="str">
            <v>M241294_02</v>
          </cell>
          <cell r="F31" t="str">
            <v>SI0993_171018</v>
          </cell>
          <cell r="G31" t="e">
            <v>#VALUE!</v>
          </cell>
          <cell r="H31" t="e">
            <v>#VALUE!</v>
          </cell>
          <cell r="I31" t="str">
            <v>외경</v>
          </cell>
          <cell r="K31" t="e">
            <v>#VALUE!</v>
          </cell>
          <cell r="L31" t="str">
            <v>나사경</v>
          </cell>
          <cell r="N31" t="e">
            <v>#VALUE!</v>
          </cell>
        </row>
        <row r="32">
          <cell r="C32" t="str">
            <v>SI0992</v>
          </cell>
          <cell r="D32" t="str">
            <v>M241296_02</v>
          </cell>
          <cell r="G32" t="e">
            <v>#VALUE!</v>
          </cell>
          <cell r="H32" t="e">
            <v>#VALUE!</v>
          </cell>
          <cell r="I32" t="str">
            <v>외경</v>
          </cell>
          <cell r="K32" t="e">
            <v>#VALUE!</v>
          </cell>
          <cell r="N32" t="e">
            <v>#VALUE!</v>
          </cell>
        </row>
        <row r="33">
          <cell r="C33" t="str">
            <v>SI0992</v>
          </cell>
          <cell r="D33" t="str">
            <v>M241296_02</v>
          </cell>
          <cell r="F33" t="str">
            <v>SI0992_171018</v>
          </cell>
          <cell r="G33" t="e">
            <v>#VALUE!</v>
          </cell>
          <cell r="H33" t="e">
            <v>#VALUE!</v>
          </cell>
          <cell r="I33" t="str">
            <v>외경</v>
          </cell>
          <cell r="K33" t="e">
            <v>#VALUE!</v>
          </cell>
          <cell r="N33" t="e">
            <v>#VALUE!</v>
          </cell>
        </row>
        <row r="34">
          <cell r="C34" t="str">
            <v>SI0994</v>
          </cell>
          <cell r="D34" t="str">
            <v>M241295_02</v>
          </cell>
          <cell r="G34" t="e">
            <v>#VALUE!</v>
          </cell>
          <cell r="H34" t="e">
            <v>#VALUE!</v>
          </cell>
          <cell r="I34" t="str">
            <v>언더컷</v>
          </cell>
          <cell r="K34" t="e">
            <v>#VALUE!</v>
          </cell>
          <cell r="L34" t="str">
            <v>나사경</v>
          </cell>
        </row>
        <row r="35">
          <cell r="C35" t="str">
            <v>SI0994</v>
          </cell>
          <cell r="D35" t="str">
            <v>M241295_02</v>
          </cell>
          <cell r="F35" t="str">
            <v>SI0994_171018</v>
          </cell>
          <cell r="G35" t="e">
            <v>#VALUE!</v>
          </cell>
          <cell r="H35" t="e">
            <v>#VALUE!</v>
          </cell>
          <cell r="I35" t="str">
            <v>언더컷</v>
          </cell>
          <cell r="K35" t="e">
            <v>#VALUE!</v>
          </cell>
          <cell r="L35" t="str">
            <v>나사경</v>
          </cell>
        </row>
        <row r="36">
          <cell r="C36" t="str">
            <v>SI1522</v>
          </cell>
          <cell r="D36" t="str">
            <v>M241147_01, M241155_02</v>
          </cell>
          <cell r="E36" t="str">
            <v>A6749_INNER CAP</v>
          </cell>
          <cell r="F36" t="str">
            <v>SI1522_715</v>
          </cell>
          <cell r="G36" t="e">
            <v>#VALUE!</v>
          </cell>
          <cell r="H36" t="e">
            <v>#VALUE!</v>
          </cell>
          <cell r="I36" t="str">
            <v>언더컷</v>
          </cell>
          <cell r="K36" t="e">
            <v>#VALUE!</v>
          </cell>
          <cell r="L36" t="str">
            <v>외경</v>
          </cell>
          <cell r="N36" t="e">
            <v>#VALUE!</v>
          </cell>
        </row>
        <row r="37">
          <cell r="C37" t="str">
            <v>SI1516</v>
          </cell>
          <cell r="D37" t="str">
            <v>M241148_01, M241156_02</v>
          </cell>
          <cell r="E37" t="str">
            <v>A6749_OUTER CAP</v>
          </cell>
          <cell r="F37" t="str">
            <v>SI1516_715</v>
          </cell>
          <cell r="G37" t="e">
            <v>#VALUE!</v>
          </cell>
          <cell r="H37" t="e">
            <v>#VALUE!</v>
          </cell>
          <cell r="I37" t="str">
            <v>외경</v>
          </cell>
          <cell r="J37" t="str">
            <v>⌀68.6±0.1</v>
          </cell>
          <cell r="K37" t="e">
            <v>#VALUE!</v>
          </cell>
          <cell r="L37" t="str">
            <v>언더컷</v>
          </cell>
          <cell r="M37" t="str">
            <v>⌀64.5±0.1</v>
          </cell>
          <cell r="N37" t="e">
            <v>#VALUE!</v>
          </cell>
        </row>
        <row r="38">
          <cell r="C38" t="str">
            <v>SI1589</v>
          </cell>
          <cell r="D38" t="str">
            <v>M241148_01, M241156_02</v>
          </cell>
          <cell r="E38" t="str">
            <v>A6749_OUTER CAP</v>
          </cell>
          <cell r="F38" t="str">
            <v>SI1589_715</v>
          </cell>
          <cell r="G38" t="e">
            <v>#VALUE!</v>
          </cell>
          <cell r="H38" t="e">
            <v>#VALUE!</v>
          </cell>
          <cell r="I38" t="str">
            <v>외경</v>
          </cell>
          <cell r="J38" t="str">
            <v>⌀68.6±0.1</v>
          </cell>
          <cell r="K38" t="e">
            <v>#VALUE!</v>
          </cell>
          <cell r="L38" t="str">
            <v>언더컷</v>
          </cell>
          <cell r="M38" t="str">
            <v>⌀64.5±0.1</v>
          </cell>
          <cell r="N38" t="e">
            <v>#VALUE!</v>
          </cell>
        </row>
        <row r="39">
          <cell r="C39" t="str">
            <v>SI1515</v>
          </cell>
          <cell r="D39" t="str">
            <v>M241149_01, M241157_02</v>
          </cell>
          <cell r="E39" t="str">
            <v>A6749_CAP DECO</v>
          </cell>
          <cell r="F39" t="str">
            <v>SI1515_715</v>
          </cell>
          <cell r="G39" t="e">
            <v>#VALUE!</v>
          </cell>
          <cell r="H39" t="e">
            <v>#VALUE!</v>
          </cell>
          <cell r="K39" t="e">
            <v>#VALUE!</v>
          </cell>
          <cell r="N39" t="e">
            <v>#VALUE!</v>
          </cell>
        </row>
        <row r="40">
          <cell r="C40" t="str">
            <v>SI1588</v>
          </cell>
          <cell r="D40" t="str">
            <v>M241149_01, M241157_02</v>
          </cell>
          <cell r="E40" t="str">
            <v>A6749_CAP DECO</v>
          </cell>
          <cell r="F40" t="str">
            <v>SI1588_715</v>
          </cell>
          <cell r="G40" t="e">
            <v>#VALUE!</v>
          </cell>
          <cell r="H40" t="e">
            <v>#VALUE!</v>
          </cell>
          <cell r="K40" t="e">
            <v>#VALUE!</v>
          </cell>
          <cell r="N40" t="e">
            <v>#VALUE!</v>
          </cell>
        </row>
        <row r="41">
          <cell r="C41" t="str">
            <v>SI1519</v>
          </cell>
          <cell r="D41" t="str">
            <v>M241150_01, M241158_02</v>
          </cell>
          <cell r="E41" t="str">
            <v>A6749_INNER JAR</v>
          </cell>
          <cell r="F41" t="str">
            <v>SI1519_715</v>
          </cell>
          <cell r="G41" t="e">
            <v>#VALUE!</v>
          </cell>
          <cell r="H41" t="e">
            <v>#VALUE!</v>
          </cell>
          <cell r="K41" t="e">
            <v>#VALUE!</v>
          </cell>
          <cell r="N41" t="e">
            <v>#VALUE!</v>
          </cell>
        </row>
        <row r="42">
          <cell r="C42" t="str">
            <v>SI1519</v>
          </cell>
          <cell r="D42" t="str">
            <v>M241150_01, M241158_02</v>
          </cell>
          <cell r="E42" t="str">
            <v>A6749_INNER JAR</v>
          </cell>
          <cell r="F42" t="str">
            <v>SI1519_1127</v>
          </cell>
          <cell r="G42" t="e">
            <v>#VALUE!</v>
          </cell>
          <cell r="H42" t="e">
            <v>#VALUE!</v>
          </cell>
          <cell r="I42" t="str">
            <v>나사경</v>
          </cell>
          <cell r="J42" t="str">
            <v>⌀51.7±0.1</v>
          </cell>
          <cell r="K42" t="e">
            <v>#VALUE!</v>
          </cell>
          <cell r="M42" t="str">
            <v>⌀49.3±0.1</v>
          </cell>
          <cell r="N42" t="e">
            <v>#VALUE!</v>
          </cell>
        </row>
        <row r="43">
          <cell r="C43" t="str">
            <v>SI1518</v>
          </cell>
          <cell r="D43" t="str">
            <v>M241151_01, M241159_02</v>
          </cell>
          <cell r="E43" t="str">
            <v>A6749_OUTER JAR</v>
          </cell>
          <cell r="F43" t="str">
            <v>SI1518_715</v>
          </cell>
          <cell r="G43" t="e">
            <v>#VALUE!</v>
          </cell>
          <cell r="H43" t="e">
            <v>#VALUE!</v>
          </cell>
          <cell r="I43" t="str">
            <v>외경</v>
          </cell>
          <cell r="J43" t="str">
            <v>⌀69.0±0.1</v>
          </cell>
          <cell r="K43" t="e">
            <v>#VALUE!</v>
          </cell>
          <cell r="L43" t="str">
            <v>키잡이</v>
          </cell>
          <cell r="M43" t="str">
            <v>⌀65.4±0.1</v>
          </cell>
          <cell r="N43" t="e">
            <v>#VALUE!</v>
          </cell>
        </row>
        <row r="44">
          <cell r="C44" t="str">
            <v>SI1586</v>
          </cell>
          <cell r="D44" t="str">
            <v>M241151_01, M241159_02</v>
          </cell>
          <cell r="E44" t="str">
            <v>A6749_OUTER JAR</v>
          </cell>
          <cell r="F44" t="str">
            <v>SI1586_715</v>
          </cell>
          <cell r="G44" t="e">
            <v>#VALUE!</v>
          </cell>
          <cell r="H44" t="e">
            <v>#VALUE!</v>
          </cell>
          <cell r="I44" t="str">
            <v>외경</v>
          </cell>
          <cell r="J44" t="str">
            <v>⌀69.0±0.1</v>
          </cell>
          <cell r="K44" t="e">
            <v>#VALUE!</v>
          </cell>
          <cell r="L44" t="str">
            <v>키잡이</v>
          </cell>
          <cell r="M44" t="str">
            <v>⌀65.4±0.1</v>
          </cell>
          <cell r="N44" t="e">
            <v>#VALUE!</v>
          </cell>
        </row>
        <row r="45">
          <cell r="C45" t="str">
            <v>SI1520</v>
          </cell>
          <cell r="D45" t="str">
            <v>M241152_01, M241160_02</v>
          </cell>
          <cell r="E45" t="str">
            <v>A6749_JAR SUPPORT</v>
          </cell>
          <cell r="F45" t="str">
            <v>SI1520_715</v>
          </cell>
          <cell r="G45" t="e">
            <v>#VALUE!</v>
          </cell>
          <cell r="H45" t="e">
            <v>#VALUE!</v>
          </cell>
          <cell r="I45" t="str">
            <v>외경</v>
          </cell>
          <cell r="J45" t="str">
            <v>⌀71.8±0.1</v>
          </cell>
          <cell r="K45" t="e">
            <v>#VALUE!</v>
          </cell>
          <cell r="L45" t="str">
            <v>언더컷</v>
          </cell>
          <cell r="M45" t="str">
            <v>⌀63.2±0.1</v>
          </cell>
          <cell r="N45" t="e">
            <v>#VALUE!</v>
          </cell>
        </row>
        <row r="46">
          <cell r="C46" t="str">
            <v>SI1587</v>
          </cell>
          <cell r="D46" t="str">
            <v>M241152_01, M241160_02</v>
          </cell>
          <cell r="E46" t="str">
            <v>A6749_JAR SUPPORT</v>
          </cell>
          <cell r="F46" t="str">
            <v>SI1587_715</v>
          </cell>
          <cell r="G46" t="e">
            <v>#VALUE!</v>
          </cell>
          <cell r="H46" t="e">
            <v>#VALUE!</v>
          </cell>
          <cell r="I46" t="str">
            <v>외경</v>
          </cell>
          <cell r="J46" t="str">
            <v>⌀71.8±0.1</v>
          </cell>
          <cell r="K46" t="e">
            <v>#VALUE!</v>
          </cell>
          <cell r="L46" t="str">
            <v>언더컷</v>
          </cell>
          <cell r="M46" t="str">
            <v>⌀63.2±0.1</v>
          </cell>
          <cell r="N46" t="e">
            <v>#VALUE!</v>
          </cell>
        </row>
        <row r="47">
          <cell r="C47" t="str">
            <v>SI1089</v>
          </cell>
          <cell r="D47" t="str">
            <v>M130374_01</v>
          </cell>
          <cell r="Q47">
            <v>7454708</v>
          </cell>
        </row>
        <row r="48">
          <cell r="C48" t="str">
            <v>SI1088</v>
          </cell>
          <cell r="D48" t="str">
            <v>M130373_01</v>
          </cell>
          <cell r="Q48">
            <v>7557065</v>
          </cell>
        </row>
        <row r="49">
          <cell r="C49" t="str">
            <v>SI1557</v>
          </cell>
          <cell r="D49" t="str">
            <v>M241332-01</v>
          </cell>
          <cell r="F49">
            <v>1</v>
          </cell>
          <cell r="G49" t="e">
            <v>#VALUE!</v>
          </cell>
          <cell r="H49" t="e">
            <v>#VALUE!</v>
          </cell>
          <cell r="I49" t="str">
            <v>외경</v>
          </cell>
          <cell r="J49" t="str">
            <v>⌀45.0</v>
          </cell>
          <cell r="K49" t="e">
            <v>#VALUE!</v>
          </cell>
          <cell r="L49" t="str">
            <v>나사경</v>
          </cell>
          <cell r="M49" t="str">
            <v>⌀23.5±0.1</v>
          </cell>
        </row>
        <row r="50">
          <cell r="C50" t="str">
            <v>SI1557</v>
          </cell>
          <cell r="D50" t="str">
            <v>M241332-01</v>
          </cell>
          <cell r="F50" t="str">
            <v>SI1557_1227</v>
          </cell>
          <cell r="G50" t="e">
            <v>#VALUE!</v>
          </cell>
          <cell r="H50" t="e">
            <v>#VALUE!</v>
          </cell>
          <cell r="I50" t="str">
            <v>언더컷</v>
          </cell>
          <cell r="J50" t="str">
            <v>⌀35.7±0.1</v>
          </cell>
          <cell r="K50" t="e">
            <v>#VALUE!</v>
          </cell>
          <cell r="L50" t="str">
            <v>나사경</v>
          </cell>
          <cell r="M50" t="str">
            <v>⌀23.5±0.1</v>
          </cell>
        </row>
        <row r="51">
          <cell r="C51" t="str">
            <v>SI1557</v>
          </cell>
          <cell r="D51" t="str">
            <v>M241332-01</v>
          </cell>
          <cell r="F51" t="str">
            <v>SI1557_250122</v>
          </cell>
          <cell r="G51" t="e">
            <v>#VALUE!</v>
          </cell>
          <cell r="H51" t="e">
            <v>#VALUE!</v>
          </cell>
          <cell r="I51" t="str">
            <v>언더컷</v>
          </cell>
          <cell r="J51" t="str">
            <v>⌀35.7±0.1</v>
          </cell>
          <cell r="K51" t="e">
            <v>#VALUE!</v>
          </cell>
          <cell r="L51" t="str">
            <v>나사경</v>
          </cell>
          <cell r="M51" t="str">
            <v>⌀23.5±0.1</v>
          </cell>
        </row>
        <row r="52">
          <cell r="C52" t="str">
            <v>SI1557</v>
          </cell>
          <cell r="D52" t="str">
            <v>M241332-01</v>
          </cell>
          <cell r="F52" t="str">
            <v>SI1557_250305</v>
          </cell>
          <cell r="G52" t="e">
            <v>#VALUE!</v>
          </cell>
          <cell r="H52" t="e">
            <v>#VALUE!</v>
          </cell>
          <cell r="I52" t="str">
            <v>언더컷</v>
          </cell>
          <cell r="J52" t="str">
            <v>⌀35.7±0.1</v>
          </cell>
          <cell r="K52" t="e">
            <v>#VALUE!</v>
          </cell>
          <cell r="L52" t="str">
            <v>나사경</v>
          </cell>
          <cell r="M52" t="str">
            <v>⌀23.5±0.1</v>
          </cell>
        </row>
        <row r="53">
          <cell r="C53" t="str">
            <v>SI1558</v>
          </cell>
          <cell r="D53" t="str">
            <v>M241331-01</v>
          </cell>
          <cell r="F53">
            <v>1</v>
          </cell>
          <cell r="G53" t="e">
            <v>#VALUE!</v>
          </cell>
          <cell r="H53" t="e">
            <v>#VALUE!</v>
          </cell>
          <cell r="I53" t="str">
            <v>외경</v>
          </cell>
          <cell r="J53" t="str">
            <v>⌀44.1±0.1</v>
          </cell>
          <cell r="K53" t="e">
            <v>#VALUE!</v>
          </cell>
          <cell r="L53" t="str">
            <v>언더컷</v>
          </cell>
          <cell r="M53" t="str">
            <v>⌀43.5±0.1</v>
          </cell>
        </row>
        <row r="54">
          <cell r="C54" t="str">
            <v>SI1558</v>
          </cell>
          <cell r="D54" t="str">
            <v>M241331-01</v>
          </cell>
          <cell r="F54" t="str">
            <v>SI1558_250211</v>
          </cell>
          <cell r="G54" t="e">
            <v>#VALUE!</v>
          </cell>
          <cell r="H54" t="e">
            <v>#VALUE!</v>
          </cell>
          <cell r="I54" t="str">
            <v>외경</v>
          </cell>
          <cell r="J54" t="str">
            <v>⌀44.1±0.1</v>
          </cell>
          <cell r="K54" t="e">
            <v>#VALUE!</v>
          </cell>
          <cell r="L54" t="str">
            <v>언더컷</v>
          </cell>
          <cell r="M54" t="str">
            <v>⌀43.6±0.1</v>
          </cell>
        </row>
        <row r="55">
          <cell r="C55" t="str">
            <v>SI1558</v>
          </cell>
          <cell r="D55" t="str">
            <v>M241331-01</v>
          </cell>
          <cell r="F55" t="str">
            <v>SI1558_250305</v>
          </cell>
          <cell r="G55" t="e">
            <v>#VALUE!</v>
          </cell>
          <cell r="H55" t="e">
            <v>#VALUE!</v>
          </cell>
          <cell r="I55" t="str">
            <v>외경</v>
          </cell>
          <cell r="J55" t="str">
            <v>⌀44.2±0.1</v>
          </cell>
          <cell r="K55" t="e">
            <v>#VALUE!</v>
          </cell>
          <cell r="L55" t="str">
            <v>언더컷</v>
          </cell>
          <cell r="M55" t="str">
            <v>⌀43.6±0.1</v>
          </cell>
        </row>
        <row r="56">
          <cell r="C56" t="str">
            <v>SI1559</v>
          </cell>
          <cell r="D56" t="str">
            <v>M241336-01</v>
          </cell>
          <cell r="F56">
            <v>1</v>
          </cell>
          <cell r="G56" t="e">
            <v>#VALUE!</v>
          </cell>
          <cell r="H56" t="e">
            <v>#VALUE!</v>
          </cell>
          <cell r="I56" t="str">
            <v>외경</v>
          </cell>
          <cell r="J56" t="str">
            <v>⌀54.0</v>
          </cell>
          <cell r="K56" t="e">
            <v>#VALUE!</v>
          </cell>
          <cell r="L56" t="str">
            <v>나사경</v>
          </cell>
          <cell r="M56" t="str">
            <v>⌀23.5±0.1</v>
          </cell>
        </row>
        <row r="57">
          <cell r="C57" t="str">
            <v>SI1559</v>
          </cell>
          <cell r="D57" t="str">
            <v>M241336-01</v>
          </cell>
          <cell r="F57" t="str">
            <v>SI1559_250110</v>
          </cell>
          <cell r="G57" t="e">
            <v>#VALUE!</v>
          </cell>
          <cell r="H57" t="e">
            <v>#VALUE!</v>
          </cell>
          <cell r="I57" t="str">
            <v>외경</v>
          </cell>
          <cell r="J57" t="str">
            <v>⌀54.0</v>
          </cell>
          <cell r="K57" t="e">
            <v>#VALUE!</v>
          </cell>
          <cell r="L57" t="str">
            <v>나사경</v>
          </cell>
          <cell r="M57" t="str">
            <v>⌀23.5±0.1</v>
          </cell>
        </row>
        <row r="58">
          <cell r="C58" t="str">
            <v>SI1560</v>
          </cell>
          <cell r="D58" t="str">
            <v>M241335-01</v>
          </cell>
          <cell r="F58">
            <v>1</v>
          </cell>
          <cell r="G58" t="e">
            <v>#VALUE!</v>
          </cell>
          <cell r="H58" t="e">
            <v>#VALUE!</v>
          </cell>
          <cell r="I58" t="str">
            <v>외경</v>
          </cell>
          <cell r="J58" t="str">
            <v>⌀53.1±0.1</v>
          </cell>
          <cell r="K58" t="e">
            <v>#VALUE!</v>
          </cell>
          <cell r="L58" t="str">
            <v>언더컷</v>
          </cell>
          <cell r="M58" t="str">
            <v>⌀52.6±0.1</v>
          </cell>
        </row>
        <row r="59">
          <cell r="C59" t="str">
            <v>SI1560</v>
          </cell>
          <cell r="D59" t="str">
            <v>M241335-01</v>
          </cell>
          <cell r="F59" t="str">
            <v>SI1560_1108</v>
          </cell>
          <cell r="G59" t="e">
            <v>#VALUE!</v>
          </cell>
          <cell r="H59" t="e">
            <v>#VALUE!</v>
          </cell>
          <cell r="I59" t="str">
            <v>외경</v>
          </cell>
          <cell r="J59" t="str">
            <v>⌀53.1±0.1</v>
          </cell>
          <cell r="K59" t="e">
            <v>#VALUE!</v>
          </cell>
          <cell r="L59" t="str">
            <v>언더컷</v>
          </cell>
          <cell r="M59" t="str">
            <v>⌀52.6±0.1</v>
          </cell>
        </row>
        <row r="60">
          <cell r="C60" t="str">
            <v>SI1560</v>
          </cell>
          <cell r="D60" t="str">
            <v>M241335-01</v>
          </cell>
          <cell r="F60" t="str">
            <v>SI1560_250225</v>
          </cell>
          <cell r="G60" t="e">
            <v>#VALUE!</v>
          </cell>
          <cell r="H60" t="e">
            <v>#VALUE!</v>
          </cell>
          <cell r="I60" t="str">
            <v>외경</v>
          </cell>
          <cell r="J60" t="str">
            <v>⌀53.2±0.1</v>
          </cell>
          <cell r="K60" t="e">
            <v>#VALUE!</v>
          </cell>
          <cell r="L60" t="str">
            <v>언더컷</v>
          </cell>
          <cell r="M60" t="str">
            <v>⌀52.6±0.1</v>
          </cell>
        </row>
        <row r="61">
          <cell r="C61" t="str">
            <v>SI1562</v>
          </cell>
          <cell r="D61" t="str">
            <v>JU24-038</v>
          </cell>
        </row>
        <row r="62">
          <cell r="C62" t="str">
            <v>SI1568</v>
          </cell>
          <cell r="D62" t="str">
            <v>M211167_01</v>
          </cell>
          <cell r="F62" t="str">
            <v>SI1568_1101</v>
          </cell>
          <cell r="G62" t="e">
            <v>#VALUE!</v>
          </cell>
        </row>
        <row r="63">
          <cell r="C63" t="str">
            <v>SI1569</v>
          </cell>
          <cell r="D63" t="str">
            <v>M231323_04</v>
          </cell>
        </row>
        <row r="64">
          <cell r="C64" t="str">
            <v>SI1590</v>
          </cell>
          <cell r="D64" t="str">
            <v>M241205_02</v>
          </cell>
          <cell r="F64" t="str">
            <v>SI1590_1030</v>
          </cell>
          <cell r="G64" t="e">
            <v>#VALUE!</v>
          </cell>
          <cell r="H64" t="e">
            <v>#VALUE!</v>
          </cell>
          <cell r="I64" t="str">
            <v>외경</v>
          </cell>
          <cell r="J64" t="str">
            <v>⌀57.9±0.1</v>
          </cell>
          <cell r="K64" t="e">
            <v>#VALUE!</v>
          </cell>
          <cell r="L64" t="str">
            <v>C 포인트</v>
          </cell>
          <cell r="M64" t="str">
            <v>⌀52.8±0.05</v>
          </cell>
          <cell r="N64" t="e">
            <v>#VALUE!</v>
          </cell>
        </row>
        <row r="65">
          <cell r="C65" t="str">
            <v>SI1591</v>
          </cell>
          <cell r="D65" t="str">
            <v>M201156_02,M201161_03</v>
          </cell>
          <cell r="F65" t="str">
            <v>SI1591_1208</v>
          </cell>
          <cell r="G65" t="e">
            <v>#VALUE!</v>
          </cell>
          <cell r="H65" t="e">
            <v>#VALUE!</v>
          </cell>
          <cell r="I65" t="str">
            <v>외경</v>
          </cell>
          <cell r="J65" t="str">
            <v>⌀64.8±0.1</v>
          </cell>
          <cell r="K65" t="e">
            <v>#VALUE!</v>
          </cell>
          <cell r="L65" t="str">
            <v>나사경</v>
          </cell>
          <cell r="M65" t="str">
            <v>⌀59.4±0.1</v>
          </cell>
        </row>
        <row r="66">
          <cell r="C66" t="str">
            <v>SI1592</v>
          </cell>
          <cell r="D66" t="str">
            <v>M201158_02</v>
          </cell>
          <cell r="F66" t="str">
            <v>SI1592_1208</v>
          </cell>
          <cell r="G66" t="e">
            <v>#VALUE!</v>
          </cell>
          <cell r="H66" t="e">
            <v>#VALUE!</v>
          </cell>
          <cell r="I66" t="str">
            <v>외경</v>
          </cell>
          <cell r="J66" t="str">
            <v>⌀57.9±0.1</v>
          </cell>
          <cell r="K66" t="e">
            <v>#VALUE!</v>
          </cell>
          <cell r="L66" t="str">
            <v>C 포인트</v>
          </cell>
          <cell r="M66" t="str">
            <v>⌀52.5±0.1</v>
          </cell>
          <cell r="N66" t="e">
            <v>#VALUE!</v>
          </cell>
        </row>
        <row r="67">
          <cell r="C67" t="str">
            <v>SI1596</v>
          </cell>
          <cell r="D67" t="str">
            <v>M201159_02,M201160_03</v>
          </cell>
          <cell r="F67" t="str">
            <v>SI1596_250214</v>
          </cell>
          <cell r="G67" t="e">
            <v>#VALUE!</v>
          </cell>
          <cell r="H67" t="e">
            <v>#VALUE!</v>
          </cell>
          <cell r="I67" t="str">
            <v>언더컷</v>
          </cell>
          <cell r="J67" t="str">
            <v>⌀56.3±0.1</v>
          </cell>
          <cell r="K67" t="e">
            <v>#VALUE!</v>
          </cell>
          <cell r="L67" t="str">
            <v>나사경</v>
          </cell>
          <cell r="M67" t="str">
            <v>⌀60.9±0.1</v>
          </cell>
          <cell r="N67" t="e">
            <v>#VALUE!</v>
          </cell>
        </row>
        <row r="68">
          <cell r="C68" t="str">
            <v>SI1577</v>
          </cell>
          <cell r="D68" t="str">
            <v>M201150</v>
          </cell>
        </row>
        <row r="69">
          <cell r="C69" t="str">
            <v>SI1578</v>
          </cell>
          <cell r="D69" t="str">
            <v>M201153</v>
          </cell>
        </row>
        <row r="70">
          <cell r="C70" t="str">
            <v>SI1579</v>
          </cell>
          <cell r="D70" t="str">
            <v>A100030</v>
          </cell>
        </row>
        <row r="71">
          <cell r="C71" t="str">
            <v>SI1580</v>
          </cell>
          <cell r="D71" t="str">
            <v>M211167</v>
          </cell>
        </row>
        <row r="72">
          <cell r="C72" t="str">
            <v>SI1581</v>
          </cell>
          <cell r="D72" t="str">
            <v>M201128</v>
          </cell>
        </row>
        <row r="73">
          <cell r="C73" t="str">
            <v>SI1582</v>
          </cell>
          <cell r="D73" t="str">
            <v>M241190_02</v>
          </cell>
        </row>
        <row r="74">
          <cell r="C74" t="str">
            <v>SI1583</v>
          </cell>
          <cell r="D74" t="str">
            <v>M241191_02</v>
          </cell>
        </row>
        <row r="75">
          <cell r="C75" t="str">
            <v>SI1584</v>
          </cell>
          <cell r="D75" t="str">
            <v>M241192_02</v>
          </cell>
        </row>
        <row r="76">
          <cell r="C76" t="str">
            <v>SI1585</v>
          </cell>
          <cell r="D76" t="str">
            <v>M241193_02</v>
          </cell>
        </row>
        <row r="77">
          <cell r="C77" t="str">
            <v>SI1597</v>
          </cell>
          <cell r="D77" t="str">
            <v>A160222</v>
          </cell>
          <cell r="F77" t="str">
            <v>SI1597_150515</v>
          </cell>
          <cell r="G77" t="e">
            <v>#VALUE!</v>
          </cell>
          <cell r="H77" t="e">
            <v>#VALUE!</v>
          </cell>
          <cell r="I77" t="str">
            <v>나사경</v>
          </cell>
          <cell r="J77" t="str">
            <v>⌀21.8±0.1</v>
          </cell>
          <cell r="K77" t="e">
            <v>#VALUE!</v>
          </cell>
          <cell r="L77" t="str">
            <v>외경</v>
          </cell>
          <cell r="M77" t="str">
            <v>⌀42.8±0.1</v>
          </cell>
        </row>
        <row r="78">
          <cell r="C78" t="str">
            <v>SI1595</v>
          </cell>
          <cell r="D78" t="str">
            <v>M231269</v>
          </cell>
        </row>
        <row r="79">
          <cell r="C79" t="str">
            <v>SI1600</v>
          </cell>
          <cell r="D79" t="str">
            <v>M251058_01</v>
          </cell>
          <cell r="E79" t="str">
            <v>A6849_CAP</v>
          </cell>
          <cell r="F79" t="str">
            <v>SI1600_250408</v>
          </cell>
          <cell r="G79" t="e">
            <v>#VALUE!</v>
          </cell>
          <cell r="H79" t="e">
            <v>#VALUE!</v>
          </cell>
          <cell r="I79" t="str">
            <v>나사경</v>
          </cell>
          <cell r="J79" t="str">
            <v>⌀68.8±0.1</v>
          </cell>
          <cell r="K79" t="e">
            <v>#VALUE!</v>
          </cell>
          <cell r="L79" t="str">
            <v>외경</v>
          </cell>
          <cell r="M79" t="str">
            <v>⌀79.8±0.1</v>
          </cell>
        </row>
        <row r="80">
          <cell r="C80" t="str">
            <v>SI1600</v>
          </cell>
          <cell r="D80" t="str">
            <v>M251058_01</v>
          </cell>
          <cell r="E80" t="str">
            <v>A6849_CAP</v>
          </cell>
          <cell r="F80" t="str">
            <v>SI1600_250304</v>
          </cell>
          <cell r="G80" t="e">
            <v>#VALUE!</v>
          </cell>
          <cell r="H80" t="e">
            <v>#VALUE!</v>
          </cell>
          <cell r="I80" t="str">
            <v>나사경</v>
          </cell>
          <cell r="J80" t="str">
            <v>⌀68.8±0.1</v>
          </cell>
          <cell r="K80" t="e">
            <v>#VALUE!</v>
          </cell>
          <cell r="L80" t="str">
            <v>외경</v>
          </cell>
          <cell r="M80" t="str">
            <v>⌀79.8±0.1</v>
          </cell>
        </row>
        <row r="81">
          <cell r="C81" t="str">
            <v>SI1601</v>
          </cell>
          <cell r="D81" t="str">
            <v>M251059_01</v>
          </cell>
          <cell r="E81" t="str">
            <v>A6849_JAR</v>
          </cell>
          <cell r="F81" t="str">
            <v>SI1601_250619</v>
          </cell>
          <cell r="G81" t="e">
            <v>#VALUE!</v>
          </cell>
          <cell r="H81" t="e">
            <v>#VALUE!</v>
          </cell>
          <cell r="I81" t="str">
            <v>나사경</v>
          </cell>
          <cell r="J81" t="str">
            <v>⌀70.4±0.1</v>
          </cell>
          <cell r="L81" t="str">
            <v>외경</v>
          </cell>
          <cell r="M81">
            <v>80.400000000000006</v>
          </cell>
        </row>
        <row r="82">
          <cell r="C82" t="str">
            <v>SI1601</v>
          </cell>
          <cell r="D82" t="str">
            <v>M251059_01</v>
          </cell>
          <cell r="E82" t="str">
            <v>A6849_JAR</v>
          </cell>
          <cell r="F82" t="str">
            <v>SI1601_250304</v>
          </cell>
          <cell r="G82" t="e">
            <v>#VALUE!</v>
          </cell>
          <cell r="H82" t="e">
            <v>#VALUE!</v>
          </cell>
          <cell r="I82" t="str">
            <v>나사경</v>
          </cell>
          <cell r="J82" t="str">
            <v>⌀70.4±0.1</v>
          </cell>
          <cell r="L82" t="str">
            <v>외경</v>
          </cell>
          <cell r="M82">
            <v>80.400000000000006</v>
          </cell>
        </row>
        <row r="83">
          <cell r="C83" t="str">
            <v>SI1598</v>
          </cell>
          <cell r="D83" t="str">
            <v>M201156_02,M201161_03</v>
          </cell>
          <cell r="E83" t="str">
            <v>A6205_CAP</v>
          </cell>
          <cell r="F83" t="str">
            <v>SI1598_1208</v>
          </cell>
          <cell r="G83" t="e">
            <v>#VALUE!</v>
          </cell>
          <cell r="H83" t="e">
            <v>#VALUE!</v>
          </cell>
          <cell r="I83" t="str">
            <v>외경</v>
          </cell>
          <cell r="J83" t="str">
            <v>⌀64.8±0.1</v>
          </cell>
          <cell r="K83" t="e">
            <v>#VALUE!</v>
          </cell>
          <cell r="L83" t="str">
            <v>나사경</v>
          </cell>
          <cell r="M83" t="str">
            <v>⌀59.4±0.1</v>
          </cell>
        </row>
        <row r="84">
          <cell r="C84" t="str">
            <v>SI1599</v>
          </cell>
          <cell r="D84" t="str">
            <v>M201158_02</v>
          </cell>
          <cell r="E84" t="str">
            <v>A6205_INNER JAR</v>
          </cell>
          <cell r="F84" t="str">
            <v>SI1599_1208</v>
          </cell>
          <cell r="G84" t="e">
            <v>#VALUE!</v>
          </cell>
          <cell r="H84" t="e">
            <v>#VALUE!</v>
          </cell>
          <cell r="I84" t="str">
            <v>외경</v>
          </cell>
          <cell r="J84" t="str">
            <v>⌀57.9±0.1</v>
          </cell>
          <cell r="K84" t="e">
            <v>#VALUE!</v>
          </cell>
          <cell r="L84" t="str">
            <v>C 포인트</v>
          </cell>
          <cell r="M84" t="str">
            <v>⌀52.5±0.1</v>
          </cell>
          <cell r="N84" t="e">
            <v>#VALUE!</v>
          </cell>
        </row>
        <row r="85">
          <cell r="C85" t="str">
            <v>SI1603</v>
          </cell>
          <cell r="E85" t="str">
            <v>A0030</v>
          </cell>
          <cell r="F85" t="str">
            <v>SI1603_221110</v>
          </cell>
          <cell r="G85" t="e">
            <v>#VALUE!</v>
          </cell>
          <cell r="H85" t="e">
            <v>#VALUE!</v>
          </cell>
          <cell r="I85" t="str">
            <v>외경</v>
          </cell>
          <cell r="J85" t="str">
            <v>43.4±0.1</v>
          </cell>
          <cell r="K85" t="e">
            <v>#VALUE!</v>
          </cell>
          <cell r="L85" t="str">
            <v>내경</v>
          </cell>
          <cell r="M85" t="str">
            <v>⌀27.6±0.1</v>
          </cell>
          <cell r="N85" t="e">
            <v>#VALUE!</v>
          </cell>
          <cell r="O85" t="str">
            <v>내고</v>
          </cell>
          <cell r="P85" t="str">
            <v>⌀20.4±0.1</v>
          </cell>
        </row>
        <row r="86">
          <cell r="C86" t="str">
            <v>SI1605</v>
          </cell>
          <cell r="D86" t="str">
            <v>M251109_01</v>
          </cell>
          <cell r="E86" t="str">
            <v>A6855_OUTER CAP</v>
          </cell>
          <cell r="F86" t="str">
            <v>SI1605_250408</v>
          </cell>
          <cell r="G86" t="e">
            <v>#VALUE!</v>
          </cell>
          <cell r="H86" t="e">
            <v>#VALUE!</v>
          </cell>
          <cell r="I86" t="str">
            <v>외경</v>
          </cell>
          <cell r="J86" t="str">
            <v>⌀50.6±0.1</v>
          </cell>
          <cell r="K86" t="e">
            <v>#VALUE!</v>
          </cell>
          <cell r="L86" t="str">
            <v>키잡이</v>
          </cell>
          <cell r="M86" t="str">
            <v>⌀48.4±0.1</v>
          </cell>
          <cell r="N86" t="e">
            <v>#VALUE!</v>
          </cell>
          <cell r="O86" t="str">
            <v>내경</v>
          </cell>
          <cell r="P86" t="str">
            <v>⌀47.0±0.1</v>
          </cell>
        </row>
        <row r="87">
          <cell r="C87" t="str">
            <v>SI1606</v>
          </cell>
          <cell r="D87" t="str">
            <v>M251108_01</v>
          </cell>
          <cell r="E87" t="str">
            <v>A6855_INNER CAP</v>
          </cell>
          <cell r="F87" t="str">
            <v>SI1606_250617</v>
          </cell>
          <cell r="G87" t="e">
            <v>#VALUE!</v>
          </cell>
          <cell r="H87" t="e">
            <v>#VALUE!</v>
          </cell>
          <cell r="I87" t="str">
            <v>나사경</v>
          </cell>
          <cell r="J87" t="str">
            <v>⌀22.4±0.1</v>
          </cell>
          <cell r="K87" t="e">
            <v>#VALUE!</v>
          </cell>
          <cell r="L87" t="str">
            <v>언더컷</v>
          </cell>
          <cell r="M87" t="str">
            <v>⌀47.9±0.1</v>
          </cell>
          <cell r="N87" t="e">
            <v>#VALUE!</v>
          </cell>
          <cell r="O87" t="str">
            <v>외경</v>
          </cell>
          <cell r="P87" t="str">
            <v>⌀48.4±0.1</v>
          </cell>
        </row>
        <row r="88">
          <cell r="C88" t="str">
            <v>SI1606</v>
          </cell>
          <cell r="D88" t="str">
            <v>M251108_01</v>
          </cell>
          <cell r="E88" t="str">
            <v>A6855_INNER CAP</v>
          </cell>
          <cell r="F88" t="str">
            <v>SI1606_250408</v>
          </cell>
          <cell r="G88" t="e">
            <v>#VALUE!</v>
          </cell>
          <cell r="H88" t="e">
            <v>#VALUE!</v>
          </cell>
          <cell r="I88" t="str">
            <v>나사경</v>
          </cell>
          <cell r="J88" t="str">
            <v>⌀22.4±0.1</v>
          </cell>
          <cell r="K88" t="e">
            <v>#VALUE!</v>
          </cell>
          <cell r="L88" t="str">
            <v>언더컷</v>
          </cell>
          <cell r="M88" t="str">
            <v>⌀47.9±0.1</v>
          </cell>
          <cell r="N88" t="e">
            <v>#VALUE!</v>
          </cell>
          <cell r="O88" t="str">
            <v>외경</v>
          </cell>
          <cell r="P88" t="str">
            <v>⌀48.4±0.1</v>
          </cell>
        </row>
        <row r="89">
          <cell r="C89" t="str">
            <v>SI1609</v>
          </cell>
          <cell r="D89" t="str">
            <v>M251165_01</v>
          </cell>
          <cell r="E89" t="str">
            <v>A6866_OUTER CAP</v>
          </cell>
          <cell r="F89" t="str">
            <v>SI1609_250519</v>
          </cell>
          <cell r="G89" t="e">
            <v>#VALUE!</v>
          </cell>
          <cell r="H89" t="e">
            <v>#VALUE!</v>
          </cell>
          <cell r="I89" t="str">
            <v>A</v>
          </cell>
          <cell r="J89" t="str">
            <v>⌀37.0</v>
          </cell>
          <cell r="K89" t="e">
            <v>#VALUE!</v>
          </cell>
          <cell r="L89" t="str">
            <v>B</v>
          </cell>
          <cell r="M89" t="str">
            <v>⌀33.6±0.1</v>
          </cell>
          <cell r="N89" t="e">
            <v>#VALUE!</v>
          </cell>
          <cell r="O89" t="str">
            <v>C</v>
          </cell>
          <cell r="P89" t="str">
            <v>⌀31.05±0.1</v>
          </cell>
        </row>
        <row r="90">
          <cell r="C90" t="str">
            <v>SI1610</v>
          </cell>
          <cell r="D90" t="str">
            <v>M251167_01</v>
          </cell>
          <cell r="E90" t="str">
            <v>A6866_CAP DECO</v>
          </cell>
          <cell r="F90" t="str">
            <v>SI1610_250519</v>
          </cell>
          <cell r="G90" t="e">
            <v>#VALUE!</v>
          </cell>
          <cell r="H90" t="e">
            <v>#VALUE!</v>
          </cell>
          <cell r="I90" t="str">
            <v>A</v>
          </cell>
          <cell r="J90" t="str">
            <v>⌀36.8</v>
          </cell>
          <cell r="K90" t="e">
            <v>#VALUE!</v>
          </cell>
          <cell r="L90" t="str">
            <v>B</v>
          </cell>
          <cell r="M90" t="str">
            <v>⌀32.8±0.1</v>
          </cell>
        </row>
        <row r="91">
          <cell r="C91" t="str">
            <v>SI1611</v>
          </cell>
          <cell r="D91" t="str">
            <v>M251166_01</v>
          </cell>
          <cell r="E91" t="str">
            <v>A6866_INNER CAP</v>
          </cell>
          <cell r="F91" t="str">
            <v>SI1611_250519</v>
          </cell>
          <cell r="G91" t="e">
            <v>#VALUE!</v>
          </cell>
          <cell r="H91" t="e">
            <v>#VALUE!</v>
          </cell>
          <cell r="I91" t="str">
            <v>A</v>
          </cell>
          <cell r="J91" t="str">
            <v>⌀31.8±0.1</v>
          </cell>
          <cell r="K91" t="e">
            <v>#VALUE!</v>
          </cell>
          <cell r="L91" t="str">
            <v>B</v>
          </cell>
          <cell r="M91" t="str">
            <v>⌀30.9±0.1</v>
          </cell>
          <cell r="N91" t="e">
            <v>#VALUE!</v>
          </cell>
          <cell r="O91" t="str">
            <v>C</v>
          </cell>
          <cell r="P91" t="str">
            <v>⌀18.8±0.1</v>
          </cell>
        </row>
        <row r="92">
          <cell r="C92" t="str">
            <v>SI1614</v>
          </cell>
          <cell r="D92" t="str">
            <v>M251184_01</v>
          </cell>
          <cell r="E92" t="str">
            <v>A6867_INNER CAP</v>
          </cell>
          <cell r="F92" t="str">
            <v>SI1614_250902</v>
          </cell>
          <cell r="G92" t="e">
            <v>#VALUE!</v>
          </cell>
          <cell r="H92" t="e">
            <v>#VALUE!</v>
          </cell>
          <cell r="I92" t="str">
            <v>키잡이</v>
          </cell>
          <cell r="J92" t="str">
            <v>⌀82.3±0.1</v>
          </cell>
          <cell r="K92" t="e">
            <v>#VALUE!</v>
          </cell>
          <cell r="L92" t="str">
            <v>언더컷 상</v>
          </cell>
          <cell r="M92" t="str">
            <v>⌀81.5±0.1</v>
          </cell>
          <cell r="N92" t="e">
            <v>#VALUE!</v>
          </cell>
          <cell r="O92" t="str">
            <v>언더컷 하</v>
          </cell>
          <cell r="P92" t="str">
            <v>⌀80.4±0.1</v>
          </cell>
          <cell r="Q92">
            <v>7567053</v>
          </cell>
        </row>
        <row r="93">
          <cell r="C93" t="str">
            <v>SI1614</v>
          </cell>
          <cell r="D93" t="str">
            <v>M251184_01</v>
          </cell>
          <cell r="E93" t="str">
            <v>A6867_INNER CAP</v>
          </cell>
          <cell r="F93" t="str">
            <v>SI1614_250725</v>
          </cell>
          <cell r="G93" t="e">
            <v>#VALUE!</v>
          </cell>
          <cell r="H93" t="e">
            <v>#VALUE!</v>
          </cell>
          <cell r="I93" t="str">
            <v>키잡이</v>
          </cell>
          <cell r="J93" t="str">
            <v>⌀82.3±0.1</v>
          </cell>
          <cell r="K93" t="e">
            <v>#VALUE!</v>
          </cell>
          <cell r="L93" t="str">
            <v>언더컷</v>
          </cell>
          <cell r="M93" t="str">
            <v>⌀81.3±0.1</v>
          </cell>
          <cell r="N93" t="e">
            <v>#VALUE!</v>
          </cell>
          <cell r="O93" t="str">
            <v>언더컷2</v>
          </cell>
          <cell r="P93" t="str">
            <v>⌀80.2±0.1</v>
          </cell>
          <cell r="Q93">
            <v>7567053</v>
          </cell>
        </row>
        <row r="94">
          <cell r="C94" t="str">
            <v>SI1614</v>
          </cell>
          <cell r="D94" t="str">
            <v>M251184_01</v>
          </cell>
          <cell r="E94" t="str">
            <v>A6867_INNER CAP</v>
          </cell>
          <cell r="F94" t="str">
            <v>SI1614_250704</v>
          </cell>
          <cell r="G94" t="e">
            <v>#VALUE!</v>
          </cell>
          <cell r="H94" t="e">
            <v>#VALUE!</v>
          </cell>
          <cell r="I94" t="str">
            <v>키잡이</v>
          </cell>
          <cell r="J94" t="str">
            <v>⌀82.3±0.1</v>
          </cell>
          <cell r="K94" t="e">
            <v>#VALUE!</v>
          </cell>
          <cell r="L94" t="str">
            <v>외경</v>
          </cell>
          <cell r="M94" t="str">
            <v>⌀80.8±0.1</v>
          </cell>
          <cell r="N94" t="e">
            <v>#VALUE!</v>
          </cell>
          <cell r="O94" t="str">
            <v>나사경</v>
          </cell>
          <cell r="P94" t="str">
            <v>⌀74.8±0.1</v>
          </cell>
          <cell r="Q94">
            <v>7567053</v>
          </cell>
        </row>
        <row r="95">
          <cell r="C95" t="str">
            <v>SI1615</v>
          </cell>
          <cell r="D95" t="str">
            <v>M251185_01</v>
          </cell>
          <cell r="E95" t="str">
            <v>A6867_CAP DECO</v>
          </cell>
          <cell r="F95" t="str">
            <v>SI1615_250725</v>
          </cell>
          <cell r="G95" t="e">
            <v>#VALUE!</v>
          </cell>
          <cell r="H95" t="e">
            <v>#VALUE!</v>
          </cell>
          <cell r="I95" t="str">
            <v>외경</v>
          </cell>
          <cell r="J95" t="str">
            <v>⌀84.8±0.1</v>
          </cell>
          <cell r="K95" t="e">
            <v>#VALUE!</v>
          </cell>
          <cell r="L95" t="str">
            <v>언더컷</v>
          </cell>
          <cell r="M95" t="str">
            <v>⌀79.7±0.1</v>
          </cell>
          <cell r="Q95">
            <v>7567053</v>
          </cell>
        </row>
        <row r="96">
          <cell r="C96" t="str">
            <v>SI1615</v>
          </cell>
          <cell r="D96" t="str">
            <v>M251185_01</v>
          </cell>
          <cell r="E96" t="str">
            <v>A6867_CAP DECO</v>
          </cell>
          <cell r="F96" t="str">
            <v>SI1615_250704</v>
          </cell>
          <cell r="G96" t="e">
            <v>#VALUE!</v>
          </cell>
          <cell r="H96" t="e">
            <v>#VALUE!</v>
          </cell>
          <cell r="I96" t="str">
            <v>외경</v>
          </cell>
          <cell r="J96" t="str">
            <v>⌀84.8±0.1</v>
          </cell>
          <cell r="K96" t="e">
            <v>#VALUE!</v>
          </cell>
          <cell r="L96" t="str">
            <v>언더컷</v>
          </cell>
          <cell r="M96" t="str">
            <v>⌀79.7±0.1</v>
          </cell>
          <cell r="N96" t="e">
            <v>#VALUE!</v>
          </cell>
          <cell r="O96" t="str">
            <v>입구경</v>
          </cell>
          <cell r="P96" t="str">
            <v>⌀77.0±0.1</v>
          </cell>
          <cell r="Q96">
            <v>7567053</v>
          </cell>
        </row>
        <row r="97">
          <cell r="C97" t="str">
            <v>SI1616</v>
          </cell>
          <cell r="D97" t="str">
            <v>M251186_01</v>
          </cell>
          <cell r="E97" t="str">
            <v>A6867_DISC</v>
          </cell>
          <cell r="F97" t="str">
            <v>SI1616_260601</v>
          </cell>
          <cell r="G97" t="e">
            <v>#VALUE!</v>
          </cell>
          <cell r="H97" t="e">
            <v>#VALUE!</v>
          </cell>
          <cell r="I97" t="str">
            <v>A</v>
          </cell>
          <cell r="J97" t="str">
            <v>⌀58.0±0.1</v>
          </cell>
          <cell r="K97" t="e">
            <v>#VALUE!</v>
          </cell>
          <cell r="L97" t="str">
            <v>외경</v>
          </cell>
          <cell r="M97" t="str">
            <v>⌀63.3±0.1</v>
          </cell>
          <cell r="N97" t="e">
            <v>#VALUE!</v>
          </cell>
          <cell r="O97" t="str">
            <v>내경</v>
          </cell>
          <cell r="P97" t="str">
            <v>⌀56.2±0.1</v>
          </cell>
          <cell r="Q97">
            <v>7567054</v>
          </cell>
        </row>
        <row r="98">
          <cell r="C98" t="str">
            <v>SI1616</v>
          </cell>
          <cell r="D98" t="str">
            <v>M251186_01</v>
          </cell>
          <cell r="E98" t="str">
            <v>A6867_DISC</v>
          </cell>
          <cell r="F98" t="str">
            <v>SI1616_260212</v>
          </cell>
          <cell r="G98" t="e">
            <v>#VALUE!</v>
          </cell>
          <cell r="H98" t="e">
            <v>#VALUE!</v>
          </cell>
          <cell r="I98" t="str">
            <v>A</v>
          </cell>
          <cell r="J98" t="str">
            <v>⌀58.3±0.1</v>
          </cell>
          <cell r="K98" t="e">
            <v>#VALUE!</v>
          </cell>
          <cell r="L98" t="str">
            <v>외경</v>
          </cell>
          <cell r="M98" t="str">
            <v>⌀63.3±0.1</v>
          </cell>
          <cell r="N98" t="e">
            <v>#VALUE!</v>
          </cell>
          <cell r="O98" t="str">
            <v>내경</v>
          </cell>
          <cell r="P98" t="str">
            <v>⌀56.2±0.1</v>
          </cell>
          <cell r="Q98">
            <v>7567054</v>
          </cell>
        </row>
        <row r="99">
          <cell r="C99" t="str">
            <v>SI1616</v>
          </cell>
          <cell r="D99" t="str">
            <v>M251186_01</v>
          </cell>
          <cell r="E99" t="str">
            <v>A6867_DISC</v>
          </cell>
          <cell r="F99" t="str">
            <v>SI1616_250930</v>
          </cell>
          <cell r="G99" t="e">
            <v>#VALUE!</v>
          </cell>
          <cell r="H99" t="e">
            <v>#VALUE!</v>
          </cell>
          <cell r="I99" t="str">
            <v>A</v>
          </cell>
          <cell r="J99" t="str">
            <v>⌀58.3±0.1</v>
          </cell>
          <cell r="K99" t="e">
            <v>#VALUE!</v>
          </cell>
          <cell r="L99" t="str">
            <v>외경</v>
          </cell>
          <cell r="M99" t="str">
            <v>⌀63.5±0.1</v>
          </cell>
          <cell r="N99" t="e">
            <v>#VALUE!</v>
          </cell>
          <cell r="O99" t="str">
            <v>내경</v>
          </cell>
          <cell r="P99" t="str">
            <v>⌀56.2±0.1</v>
          </cell>
          <cell r="Q99">
            <v>7567054</v>
          </cell>
        </row>
        <row r="100">
          <cell r="C100" t="str">
            <v>SI1616</v>
          </cell>
          <cell r="D100" t="str">
            <v>M251186_01</v>
          </cell>
          <cell r="E100" t="str">
            <v>A6867_DISC</v>
          </cell>
          <cell r="F100" t="str">
            <v>SI1616_250725</v>
          </cell>
          <cell r="G100" t="e">
            <v>#VALUE!</v>
          </cell>
          <cell r="H100" t="e">
            <v>#VALUE!</v>
          </cell>
          <cell r="I100" t="str">
            <v>A</v>
          </cell>
          <cell r="J100" t="str">
            <v>⌀58.3±0.1</v>
          </cell>
          <cell r="K100" t="e">
            <v>#VALUE!</v>
          </cell>
          <cell r="L100" t="str">
            <v>외경</v>
          </cell>
          <cell r="M100" t="str">
            <v>⌀63.1±0.1</v>
          </cell>
          <cell r="N100" t="e">
            <v>#VALUE!</v>
          </cell>
          <cell r="O100" t="str">
            <v>내경</v>
          </cell>
          <cell r="P100" t="str">
            <v>⌀56.2±0.1</v>
          </cell>
          <cell r="Q100">
            <v>7567054</v>
          </cell>
        </row>
        <row r="101">
          <cell r="C101" t="str">
            <v>SI1616</v>
          </cell>
          <cell r="D101" t="str">
            <v>M251186_01</v>
          </cell>
          <cell r="E101" t="str">
            <v>A6867_DISC</v>
          </cell>
          <cell r="F101" t="str">
            <v>SI1616_250704</v>
          </cell>
          <cell r="G101" t="e">
            <v>#VALUE!</v>
          </cell>
          <cell r="H101" t="e">
            <v>#VALUE!</v>
          </cell>
          <cell r="I101" t="str">
            <v>A</v>
          </cell>
          <cell r="J101" t="str">
            <v>⌀58.3±0.1</v>
          </cell>
          <cell r="K101" t="e">
            <v>#VALUE!</v>
          </cell>
          <cell r="L101" t="str">
            <v>외경</v>
          </cell>
          <cell r="M101" t="str">
            <v>⌀63.1±0.1</v>
          </cell>
          <cell r="N101" t="e">
            <v>#VALUE!</v>
          </cell>
          <cell r="O101" t="str">
            <v>내경</v>
          </cell>
          <cell r="P101" t="str">
            <v>⌀56.2±0.1</v>
          </cell>
          <cell r="Q101">
            <v>7567054</v>
          </cell>
        </row>
        <row r="102">
          <cell r="C102" t="str">
            <v>SI1617</v>
          </cell>
          <cell r="D102" t="str">
            <v>M251188_01</v>
          </cell>
          <cell r="E102" t="str">
            <v>A6867_MID JAR</v>
          </cell>
          <cell r="F102" t="str">
            <v>SI1617_260601</v>
          </cell>
          <cell r="G102" t="e">
            <v>#VALUE!</v>
          </cell>
          <cell r="H102" t="e">
            <v>#VALUE!</v>
          </cell>
          <cell r="I102" t="str">
            <v>외경</v>
          </cell>
          <cell r="J102" t="str">
            <v>⌀64.6±0.1</v>
          </cell>
          <cell r="K102" t="e">
            <v>#VALUE!</v>
          </cell>
          <cell r="L102" t="str">
            <v>내경</v>
          </cell>
          <cell r="M102" t="str">
            <v>⌀61.7±0.1</v>
          </cell>
          <cell r="N102" t="e">
            <v>#VALUE!</v>
          </cell>
          <cell r="O102" t="str">
            <v>입구경</v>
          </cell>
          <cell r="P102" t="str">
            <v>⌀61.8±0.1</v>
          </cell>
          <cell r="Q102">
            <v>7567056</v>
          </cell>
        </row>
        <row r="103">
          <cell r="C103" t="str">
            <v>SI1617</v>
          </cell>
          <cell r="D103" t="str">
            <v>M251188_01</v>
          </cell>
          <cell r="E103" t="str">
            <v>A6867_MID JAR</v>
          </cell>
          <cell r="F103" t="str">
            <v>SI1617_250725</v>
          </cell>
          <cell r="G103" t="e">
            <v>#VALUE!</v>
          </cell>
          <cell r="H103" t="e">
            <v>#VALUE!</v>
          </cell>
          <cell r="I103" t="str">
            <v>외경</v>
          </cell>
          <cell r="J103" t="str">
            <v>⌀64.7±0.1</v>
          </cell>
          <cell r="K103" t="e">
            <v>#VALUE!</v>
          </cell>
          <cell r="L103" t="str">
            <v>내경</v>
          </cell>
          <cell r="M103" t="str">
            <v>⌀61.7</v>
          </cell>
          <cell r="N103" t="e">
            <v>#VALUE!</v>
          </cell>
          <cell r="O103" t="str">
            <v>언더컷</v>
          </cell>
          <cell r="P103" t="str">
            <v>⌀61.6±0.1</v>
          </cell>
          <cell r="Q103">
            <v>7567056</v>
          </cell>
        </row>
        <row r="104">
          <cell r="C104" t="str">
            <v>SI1617</v>
          </cell>
          <cell r="D104" t="str">
            <v>M251188_01</v>
          </cell>
          <cell r="E104" t="str">
            <v>A6867_MID JAR</v>
          </cell>
          <cell r="F104" t="str">
            <v>SI1617_250704</v>
          </cell>
          <cell r="G104" t="e">
            <v>#VALUE!</v>
          </cell>
          <cell r="H104" t="e">
            <v>#VALUE!</v>
          </cell>
          <cell r="I104" t="str">
            <v>A</v>
          </cell>
          <cell r="J104" t="str">
            <v>⌀64.7±0.1</v>
          </cell>
          <cell r="K104" t="e">
            <v>#VALUE!</v>
          </cell>
          <cell r="L104" t="str">
            <v>내경</v>
          </cell>
          <cell r="M104" t="str">
            <v>⌀61.7</v>
          </cell>
          <cell r="N104" t="e">
            <v>#VALUE!</v>
          </cell>
          <cell r="O104" t="str">
            <v>C</v>
          </cell>
          <cell r="P104" t="str">
            <v>⌀30.0±0.1</v>
          </cell>
          <cell r="Q104">
            <v>7567056</v>
          </cell>
        </row>
        <row r="105">
          <cell r="C105" t="str">
            <v>SI1618</v>
          </cell>
          <cell r="D105" t="str">
            <v>M251187_01</v>
          </cell>
          <cell r="E105" t="str">
            <v>A6867_INNER JAR</v>
          </cell>
          <cell r="F105" t="str">
            <v>SI1618_260601</v>
          </cell>
          <cell r="G105" t="e">
            <v>#VALUE!</v>
          </cell>
          <cell r="H105" t="e">
            <v>#VALUE!</v>
          </cell>
          <cell r="I105" t="str">
            <v>언더컷</v>
          </cell>
          <cell r="J105" t="str">
            <v>⌀61.9±0.1</v>
          </cell>
          <cell r="L105" t="str">
            <v>언더컷2</v>
          </cell>
          <cell r="M105" t="str">
            <v>⌀61.7±0.1</v>
          </cell>
          <cell r="N105" t="e">
            <v>#VALUE!</v>
          </cell>
          <cell r="O105" t="str">
            <v>내경</v>
          </cell>
          <cell r="P105" t="str">
            <v>⌀59.1±0.1</v>
          </cell>
          <cell r="Q105">
            <v>7567056</v>
          </cell>
        </row>
        <row r="106">
          <cell r="C106" t="str">
            <v>SI1618</v>
          </cell>
          <cell r="D106" t="str">
            <v>M251187_01</v>
          </cell>
          <cell r="E106" t="str">
            <v>A6867_INNER JAR</v>
          </cell>
          <cell r="F106" t="str">
            <v>SI1618_250725</v>
          </cell>
          <cell r="G106" t="e">
            <v>#VALUE!</v>
          </cell>
          <cell r="H106" t="e">
            <v>#VALUE!</v>
          </cell>
          <cell r="I106" t="str">
            <v>언더컷</v>
          </cell>
          <cell r="J106" t="str">
            <v>⌀62.0±0.1</v>
          </cell>
          <cell r="K106" t="e">
            <v>#VALUE!</v>
          </cell>
          <cell r="L106" t="str">
            <v>언더컷2</v>
          </cell>
          <cell r="M106" t="str">
            <v>⌀61.7±0.1</v>
          </cell>
          <cell r="N106" t="e">
            <v>#VALUE!</v>
          </cell>
          <cell r="O106" t="str">
            <v>내경</v>
          </cell>
          <cell r="P106" t="str">
            <v>⌀63.6±0.1</v>
          </cell>
          <cell r="Q106">
            <v>7567056</v>
          </cell>
        </row>
        <row r="107">
          <cell r="C107" t="str">
            <v>SI1618</v>
          </cell>
          <cell r="D107" t="str">
            <v>M251187_01</v>
          </cell>
          <cell r="E107" t="str">
            <v>A6867_INNER JAR</v>
          </cell>
          <cell r="F107" t="str">
            <v>SI1618_250704</v>
          </cell>
          <cell r="G107" t="e">
            <v>#VALUE!</v>
          </cell>
          <cell r="H107" t="e">
            <v>#VALUE!</v>
          </cell>
          <cell r="I107" t="str">
            <v>외경</v>
          </cell>
          <cell r="J107" t="str">
            <v>⌀73.4±0.1</v>
          </cell>
          <cell r="K107" t="e">
            <v>#VALUE!</v>
          </cell>
          <cell r="L107" t="str">
            <v>언더컷</v>
          </cell>
          <cell r="M107" t="str">
            <v>⌀61.7±0.1</v>
          </cell>
          <cell r="N107" t="e">
            <v>#VALUE!</v>
          </cell>
          <cell r="O107" t="str">
            <v>내경</v>
          </cell>
          <cell r="P107" t="str">
            <v>⌀63.6±0.1</v>
          </cell>
          <cell r="Q107">
            <v>7567056</v>
          </cell>
        </row>
        <row r="108">
          <cell r="C108" t="str">
            <v>SI1619</v>
          </cell>
          <cell r="D108" t="str">
            <v>M251189_01</v>
          </cell>
          <cell r="E108" t="str">
            <v>A6867_OUTER JAR</v>
          </cell>
          <cell r="F108" t="str">
            <v>SI1619_260601</v>
          </cell>
          <cell r="G108" t="e">
            <v>#VALUE!</v>
          </cell>
          <cell r="H108" t="e">
            <v>#VALUE!</v>
          </cell>
          <cell r="I108" t="str">
            <v>나사경</v>
          </cell>
          <cell r="J108" t="str">
            <v>⌀76.4±0.1</v>
          </cell>
          <cell r="K108" t="e">
            <v>#VALUE!</v>
          </cell>
          <cell r="L108" t="str">
            <v>언더컷B</v>
          </cell>
          <cell r="M108" t="str">
            <v>⌀71.7±0.1</v>
          </cell>
          <cell r="N108" t="e">
            <v>#VALUE!</v>
          </cell>
          <cell r="O108" t="str">
            <v>언더컷</v>
          </cell>
          <cell r="P108" t="str">
            <v>⌀73.0±0.1</v>
          </cell>
          <cell r="Q108">
            <v>7567057</v>
          </cell>
        </row>
        <row r="109">
          <cell r="C109" t="str">
            <v>SI1619</v>
          </cell>
          <cell r="D109" t="str">
            <v>M251189_01</v>
          </cell>
          <cell r="E109" t="str">
            <v>A6867_OUTER JAR</v>
          </cell>
          <cell r="F109" t="str">
            <v>SI1619_260508</v>
          </cell>
          <cell r="G109" t="e">
            <v>#VALUE!</v>
          </cell>
          <cell r="H109" t="e">
            <v>#VALUE!</v>
          </cell>
          <cell r="I109" t="str">
            <v>나사경</v>
          </cell>
          <cell r="J109" t="str">
            <v>⌀76.4±0.1</v>
          </cell>
          <cell r="K109" t="e">
            <v>#VALUE!</v>
          </cell>
          <cell r="L109" t="str">
            <v>언더컷B</v>
          </cell>
          <cell r="M109" t="str">
            <v>⌀71.7±0.1</v>
          </cell>
          <cell r="N109" t="e">
            <v>#VALUE!</v>
          </cell>
          <cell r="O109" t="str">
            <v>언더컷</v>
          </cell>
          <cell r="P109" t="str">
            <v>⌀72.9±0.1</v>
          </cell>
          <cell r="Q109">
            <v>7567057</v>
          </cell>
        </row>
        <row r="110">
          <cell r="C110" t="str">
            <v>SI1619</v>
          </cell>
          <cell r="D110" t="str">
            <v>M251189_01</v>
          </cell>
          <cell r="E110" t="str">
            <v>A6867_OUTER JAR</v>
          </cell>
          <cell r="F110" t="str">
            <v>SI1619_250725</v>
          </cell>
          <cell r="G110" t="e">
            <v>#VALUE!</v>
          </cell>
          <cell r="H110" t="e">
            <v>#VALUE!</v>
          </cell>
          <cell r="I110" t="str">
            <v>나사경</v>
          </cell>
          <cell r="J110" t="str">
            <v>⌀76.4±0.1</v>
          </cell>
          <cell r="K110" t="e">
            <v>#VALUE!</v>
          </cell>
          <cell r="L110" t="str">
            <v>언더컷B</v>
          </cell>
          <cell r="M110" t="str">
            <v>⌀71.6±0.1</v>
          </cell>
          <cell r="N110" t="e">
            <v>#VALUE!</v>
          </cell>
          <cell r="O110" t="str">
            <v>언더컷</v>
          </cell>
          <cell r="P110" t="str">
            <v>⌀72.9±0.1</v>
          </cell>
          <cell r="Q110">
            <v>7567057</v>
          </cell>
        </row>
        <row r="111">
          <cell r="C111" t="str">
            <v>SI1619</v>
          </cell>
          <cell r="D111" t="str">
            <v>M251189_01</v>
          </cell>
          <cell r="E111" t="str">
            <v>A6867_OUTER JAR</v>
          </cell>
          <cell r="F111" t="str">
            <v>SI1619_250704</v>
          </cell>
          <cell r="G111" t="e">
            <v>#VALUE!</v>
          </cell>
          <cell r="H111" t="e">
            <v>#VALUE!</v>
          </cell>
          <cell r="I111" t="str">
            <v>나사경</v>
          </cell>
          <cell r="J111" t="str">
            <v>⌀76.4±0.1</v>
          </cell>
          <cell r="K111" t="e">
            <v>#VALUE!</v>
          </cell>
          <cell r="L111" t="str">
            <v>입구경</v>
          </cell>
          <cell r="M111" t="str">
            <v>⌀65.4±0.1</v>
          </cell>
          <cell r="N111" t="e">
            <v>#VALUE!</v>
          </cell>
          <cell r="O111" t="str">
            <v>C</v>
          </cell>
          <cell r="P111" t="str">
            <v>⌀72.9±0.1</v>
          </cell>
          <cell r="Q111">
            <v>7567057</v>
          </cell>
        </row>
        <row r="112">
          <cell r="C112" t="str">
            <v>SI1620</v>
          </cell>
          <cell r="D112" t="str">
            <v>M251190_01</v>
          </cell>
          <cell r="E112" t="str">
            <v>A6867_JAR SUPPORT</v>
          </cell>
          <cell r="F112" t="str">
            <v>SI1620_250801</v>
          </cell>
          <cell r="G112" t="e">
            <v>#VALUE!</v>
          </cell>
          <cell r="H112" t="e">
            <v>#VALUE!</v>
          </cell>
          <cell r="I112" t="str">
            <v>외경</v>
          </cell>
          <cell r="J112" t="str">
            <v>⌀90.3±0.1</v>
          </cell>
          <cell r="K112" t="e">
            <v>#VALUE!</v>
          </cell>
          <cell r="L112" t="str">
            <v>언더컷</v>
          </cell>
          <cell r="M112" t="str">
            <v>⌀76.1±0.1</v>
          </cell>
          <cell r="Q112">
            <v>7567057</v>
          </cell>
        </row>
        <row r="113">
          <cell r="C113" t="str">
            <v>SI1620</v>
          </cell>
          <cell r="D113" t="str">
            <v>M251190_01</v>
          </cell>
          <cell r="E113" t="str">
            <v>A6867_JAR SUPPORT</v>
          </cell>
          <cell r="F113" t="str">
            <v>SI1620_250704</v>
          </cell>
          <cell r="G113" t="e">
            <v>#VALUE!</v>
          </cell>
          <cell r="H113" t="e">
            <v>#VALUE!</v>
          </cell>
          <cell r="I113" t="str">
            <v>외경</v>
          </cell>
          <cell r="J113" t="str">
            <v>⌀90.3±0.1</v>
          </cell>
          <cell r="K113" t="e">
            <v>#VALUE!</v>
          </cell>
          <cell r="L113" t="str">
            <v>언더컷</v>
          </cell>
          <cell r="M113" t="str">
            <v>⌀76.1±0.1</v>
          </cell>
          <cell r="N113" t="e">
            <v>#VALUE!</v>
          </cell>
          <cell r="O113" t="str">
            <v>내경</v>
          </cell>
          <cell r="P113" t="str">
            <v>⌀87.8±0.1</v>
          </cell>
          <cell r="Q113">
            <v>7567057</v>
          </cell>
        </row>
        <row r="114">
          <cell r="C114" t="str">
            <v>SI1621</v>
          </cell>
          <cell r="D114" t="str">
            <v>M251191_01</v>
          </cell>
          <cell r="E114" t="str">
            <v>A6867_SHOULDER</v>
          </cell>
          <cell r="F114" t="str">
            <v>SI1621_260601</v>
          </cell>
          <cell r="G114" t="e">
            <v>#VALUE!</v>
          </cell>
          <cell r="H114" t="e">
            <v>#VALUE!</v>
          </cell>
          <cell r="I114" t="str">
            <v>외경</v>
          </cell>
          <cell r="J114" t="str">
            <v>⌀94.1±0.1</v>
          </cell>
          <cell r="K114" t="e">
            <v>#VALUE!</v>
          </cell>
          <cell r="L114" t="str">
            <v>내경</v>
          </cell>
          <cell r="M114" t="str">
            <v>⌀73.4±0.1</v>
          </cell>
          <cell r="N114" t="e">
            <v>#VALUE!</v>
          </cell>
          <cell r="O114" t="str">
            <v>언더컷</v>
          </cell>
          <cell r="P114" t="str">
            <v>⌀72.4±0.1</v>
          </cell>
          <cell r="Q114">
            <v>7567057</v>
          </cell>
        </row>
        <row r="115">
          <cell r="C115" t="str">
            <v>SI1621</v>
          </cell>
          <cell r="D115" t="str">
            <v>M251191_01</v>
          </cell>
          <cell r="E115" t="str">
            <v>A6867_SHOULDER</v>
          </cell>
          <cell r="F115" t="str">
            <v>SI1621_250801</v>
          </cell>
          <cell r="G115" t="e">
            <v>#VALUE!</v>
          </cell>
          <cell r="H115" t="e">
            <v>#VALUE!</v>
          </cell>
          <cell r="I115" t="str">
            <v>외경</v>
          </cell>
          <cell r="J115" t="str">
            <v>⌀94.1±0.1</v>
          </cell>
          <cell r="K115" t="e">
            <v>#VALUE!</v>
          </cell>
          <cell r="L115" t="str">
            <v>내경</v>
          </cell>
          <cell r="M115" t="str">
            <v>⌀73.4±0.1</v>
          </cell>
          <cell r="N115" t="e">
            <v>#VALUE!</v>
          </cell>
          <cell r="O115" t="str">
            <v>언더컷</v>
          </cell>
          <cell r="P115" t="str">
            <v>⌀72.4±0.1</v>
          </cell>
          <cell r="Q115">
            <v>7567057</v>
          </cell>
        </row>
        <row r="116">
          <cell r="C116" t="str">
            <v>SI1621</v>
          </cell>
          <cell r="D116" t="str">
            <v>M251191_01</v>
          </cell>
          <cell r="E116" t="str">
            <v>A6867_SHOULDER</v>
          </cell>
          <cell r="F116" t="str">
            <v>SI1621_250725</v>
          </cell>
          <cell r="G116" t="e">
            <v>#VALUE!</v>
          </cell>
          <cell r="H116" t="e">
            <v>#VALUE!</v>
          </cell>
          <cell r="I116" t="str">
            <v>외경</v>
          </cell>
          <cell r="J116" t="str">
            <v>⌀94.1±0.1</v>
          </cell>
          <cell r="K116" t="e">
            <v>#VALUE!</v>
          </cell>
          <cell r="L116" t="str">
            <v>내경</v>
          </cell>
          <cell r="M116" t="str">
            <v>⌀73.4±0.1</v>
          </cell>
          <cell r="N116" t="e">
            <v>#VALUE!</v>
          </cell>
          <cell r="O116" t="str">
            <v>언더컷</v>
          </cell>
          <cell r="P116" t="str">
            <v>⌀72.4±0.1</v>
          </cell>
          <cell r="Q116">
            <v>7567057</v>
          </cell>
        </row>
        <row r="117">
          <cell r="C117" t="str">
            <v>SI1621</v>
          </cell>
          <cell r="D117" t="str">
            <v>M251191_01</v>
          </cell>
          <cell r="E117" t="str">
            <v>A6867_SHOULDER</v>
          </cell>
          <cell r="F117" t="str">
            <v>SI1621_250704</v>
          </cell>
          <cell r="G117" t="e">
            <v>#VALUE!</v>
          </cell>
          <cell r="H117" t="e">
            <v>#VALUE!</v>
          </cell>
          <cell r="I117" t="str">
            <v>외경</v>
          </cell>
          <cell r="J117" t="str">
            <v>⌀94.1±0.1</v>
          </cell>
          <cell r="K117" t="e">
            <v>#VALUE!</v>
          </cell>
          <cell r="L117" t="str">
            <v>내경1</v>
          </cell>
          <cell r="M117" t="str">
            <v>⌀73.4±0.1</v>
          </cell>
          <cell r="N117" t="e">
            <v>#VALUE!</v>
          </cell>
          <cell r="O117" t="str">
            <v>내경2</v>
          </cell>
          <cell r="P117" t="str">
            <v>⌀90.0±0.1</v>
          </cell>
          <cell r="Q117">
            <v>7567057</v>
          </cell>
        </row>
        <row r="118">
          <cell r="C118" t="str">
            <v>SI1622</v>
          </cell>
          <cell r="D118" t="str">
            <v>M251192_01</v>
          </cell>
          <cell r="E118" t="str">
            <v>A6867_SPATULA</v>
          </cell>
          <cell r="F118" t="str">
            <v>SI1622_260508</v>
          </cell>
          <cell r="G118" t="e">
            <v>#VALUE!</v>
          </cell>
          <cell r="H118" t="e">
            <v>#VALUE!</v>
          </cell>
          <cell r="I118" t="str">
            <v>외경</v>
          </cell>
          <cell r="J118" t="str">
            <v>⌀62.6±0.1</v>
          </cell>
          <cell r="K118" t="e">
            <v>#VALUE!</v>
          </cell>
          <cell r="L118" t="str">
            <v>외고</v>
          </cell>
          <cell r="M118" t="str">
            <v>⌀20.9±0.1</v>
          </cell>
          <cell r="Q118">
            <v>7567072</v>
          </cell>
        </row>
        <row r="119">
          <cell r="C119" t="str">
            <v>SI1622</v>
          </cell>
          <cell r="D119" t="str">
            <v>M251192_01</v>
          </cell>
          <cell r="E119" t="str">
            <v>A6867_SPATULA</v>
          </cell>
          <cell r="F119" t="str">
            <v>SI1622_250725</v>
          </cell>
          <cell r="G119" t="e">
            <v>#VALUE!</v>
          </cell>
          <cell r="H119" t="e">
            <v>#VALUE!</v>
          </cell>
          <cell r="I119" t="str">
            <v>외경</v>
          </cell>
          <cell r="J119" t="str">
            <v>⌀62.7±0.1</v>
          </cell>
          <cell r="K119" t="e">
            <v>#VALUE!</v>
          </cell>
          <cell r="L119" t="str">
            <v>외고</v>
          </cell>
          <cell r="M119" t="str">
            <v>⌀15.4±0.1</v>
          </cell>
          <cell r="Q119">
            <v>7567072</v>
          </cell>
        </row>
        <row r="120">
          <cell r="C120" t="str">
            <v>SI1622</v>
          </cell>
          <cell r="D120" t="str">
            <v>M251192_01</v>
          </cell>
          <cell r="E120" t="str">
            <v>A6867_SPATULA</v>
          </cell>
          <cell r="F120" t="str">
            <v>SI1622_250704</v>
          </cell>
          <cell r="G120" t="e">
            <v>#VALUE!</v>
          </cell>
          <cell r="H120" t="e">
            <v>#VALUE!</v>
          </cell>
          <cell r="I120" t="str">
            <v>외경</v>
          </cell>
          <cell r="J120" t="str">
            <v>⌀62.2±0.1</v>
          </cell>
          <cell r="K120" t="e">
            <v>#VALUE!</v>
          </cell>
          <cell r="L120" t="str">
            <v>외고</v>
          </cell>
          <cell r="M120" t="str">
            <v>⌀20.9±0.1</v>
          </cell>
          <cell r="Q120">
            <v>7567072</v>
          </cell>
        </row>
        <row r="121">
          <cell r="C121" t="str">
            <v>SI1644</v>
          </cell>
          <cell r="D121" t="str">
            <v>M251218_01</v>
          </cell>
          <cell r="E121" t="str">
            <v>A6871_CAP DECO</v>
          </cell>
          <cell r="F121" t="str">
            <v>SI1644_250704</v>
          </cell>
          <cell r="G121" t="e">
            <v>#VALUE!</v>
          </cell>
          <cell r="H121" t="e">
            <v>#VALUE!</v>
          </cell>
          <cell r="I121" t="str">
            <v>외경</v>
          </cell>
          <cell r="J121" t="str">
            <v>⌀84.8±0.1</v>
          </cell>
          <cell r="K121" t="e">
            <v>#VALUE!</v>
          </cell>
          <cell r="L121" t="str">
            <v>언더컷</v>
          </cell>
          <cell r="M121" t="str">
            <v>⌀79.7±0.1</v>
          </cell>
          <cell r="N121" t="e">
            <v>#VALUE!</v>
          </cell>
          <cell r="O121" t="str">
            <v>입구경</v>
          </cell>
          <cell r="P121" t="str">
            <v>⌀77.0±0.1</v>
          </cell>
          <cell r="Q121">
            <v>7569661</v>
          </cell>
        </row>
        <row r="122">
          <cell r="C122" t="str">
            <v>SI1623</v>
          </cell>
          <cell r="D122" t="str">
            <v>M251217_01</v>
          </cell>
          <cell r="E122" t="str">
            <v>A6871_CAP</v>
          </cell>
          <cell r="F122" t="str">
            <v>SI1623_250704</v>
          </cell>
          <cell r="G122" t="e">
            <v>#VALUE!</v>
          </cell>
          <cell r="H122" t="e">
            <v>#VALUE!</v>
          </cell>
          <cell r="I122" t="str">
            <v>외경</v>
          </cell>
          <cell r="J122" t="str">
            <v>⌀77.3±0.1</v>
          </cell>
          <cell r="K122" t="e">
            <v>#VALUE!</v>
          </cell>
          <cell r="L122" t="str">
            <v>내경</v>
          </cell>
          <cell r="M122" t="str">
            <v>⌀73.6±0.1</v>
          </cell>
          <cell r="N122" t="e">
            <v>#VALUE!</v>
          </cell>
          <cell r="O122" t="str">
            <v>A</v>
          </cell>
          <cell r="P122" t="str">
            <v>⌀76.3±0.1</v>
          </cell>
          <cell r="Q122">
            <v>7569661</v>
          </cell>
        </row>
        <row r="123">
          <cell r="C123" t="str">
            <v>SI1625</v>
          </cell>
          <cell r="D123" t="str">
            <v>M251175_01</v>
          </cell>
          <cell r="E123" t="str">
            <v>A6868_OUTER CAP</v>
          </cell>
          <cell r="F123" t="str">
            <v>SI1625_260724</v>
          </cell>
          <cell r="H123" t="e">
            <v>#VALUE!</v>
          </cell>
          <cell r="I123" t="str">
            <v>내경</v>
          </cell>
          <cell r="J123" t="str">
            <v>⌀50.4±0.1</v>
          </cell>
          <cell r="K123" t="e">
            <v>#VALUE!</v>
          </cell>
          <cell r="L123" t="str">
            <v>외경</v>
          </cell>
          <cell r="M123" t="str">
            <v>⌀58.3±0.1</v>
          </cell>
          <cell r="N123" t="e">
            <v>#VALUE!</v>
          </cell>
          <cell r="O123" t="str">
            <v>언더컷</v>
          </cell>
          <cell r="P123" t="str">
            <v>⌀50.4±0.1</v>
          </cell>
          <cell r="Q123">
            <v>7569568</v>
          </cell>
        </row>
        <row r="124">
          <cell r="C124" t="str">
            <v>SI1625</v>
          </cell>
          <cell r="D124" t="str">
            <v>M251175_01</v>
          </cell>
          <cell r="E124" t="str">
            <v>A6868_OUTER CAP</v>
          </cell>
          <cell r="F124" t="str">
            <v>SI1625_260701</v>
          </cell>
          <cell r="G124" t="e">
            <v>#VALUE!</v>
          </cell>
          <cell r="H124" t="e">
            <v>#VALUE!</v>
          </cell>
          <cell r="I124" t="str">
            <v>내경</v>
          </cell>
          <cell r="J124" t="str">
            <v>⌀50.3±0.1</v>
          </cell>
          <cell r="K124" t="e">
            <v>#VALUE!</v>
          </cell>
          <cell r="L124" t="str">
            <v>외경</v>
          </cell>
          <cell r="M124" t="str">
            <v>⌀58.2±0.1</v>
          </cell>
          <cell r="N124" t="e">
            <v>#VALUE!</v>
          </cell>
          <cell r="O124" t="str">
            <v>언더컷</v>
          </cell>
          <cell r="P124" t="str">
            <v>⌀50.35±0.1</v>
          </cell>
          <cell r="Q124">
            <v>7569568</v>
          </cell>
        </row>
        <row r="125">
          <cell r="C125" t="str">
            <v>SI1625</v>
          </cell>
          <cell r="D125" t="str">
            <v>M251175_01</v>
          </cell>
          <cell r="E125" t="str">
            <v>A6868_OUTER CAP</v>
          </cell>
          <cell r="F125" t="str">
            <v>SI1625_250708</v>
          </cell>
          <cell r="G125" t="e">
            <v>#VALUE!</v>
          </cell>
          <cell r="H125" t="e">
            <v>#VALUE!</v>
          </cell>
          <cell r="I125" t="str">
            <v>내경</v>
          </cell>
          <cell r="J125" t="str">
            <v>⌀50.3±0.1</v>
          </cell>
          <cell r="K125" t="e">
            <v>#VALUE!</v>
          </cell>
          <cell r="L125" t="str">
            <v>외경</v>
          </cell>
          <cell r="M125" t="str">
            <v>⌀58.2±0.1</v>
          </cell>
          <cell r="N125" t="e">
            <v>#VALUE!</v>
          </cell>
          <cell r="O125" t="str">
            <v>언더컷</v>
          </cell>
          <cell r="P125" t="str">
            <v>⌀50.3±0.1</v>
          </cell>
          <cell r="Q125">
            <v>7569568</v>
          </cell>
        </row>
        <row r="126">
          <cell r="C126" t="str">
            <v>SI1626</v>
          </cell>
          <cell r="D126" t="str">
            <v>M251174_01</v>
          </cell>
          <cell r="E126" t="str">
            <v>A6868_INNER CAP</v>
          </cell>
          <cell r="F126" t="str">
            <v>SI1626_260701</v>
          </cell>
          <cell r="G126" t="e">
            <v>#VALUE!</v>
          </cell>
          <cell r="H126" t="e">
            <v>#VALUE!</v>
          </cell>
          <cell r="I126" t="str">
            <v>내경</v>
          </cell>
          <cell r="J126" t="str">
            <v>⌀47.1±0.1</v>
          </cell>
          <cell r="K126" t="e">
            <v>#VALUE!</v>
          </cell>
          <cell r="L126" t="str">
            <v>외경</v>
          </cell>
          <cell r="M126" t="str">
            <v>⌀51.7±0.1</v>
          </cell>
          <cell r="N126" t="e">
            <v>#VALUE!</v>
          </cell>
          <cell r="O126" t="str">
            <v>키잡이</v>
          </cell>
          <cell r="P126" t="str">
            <v>⌀51.5±0.1</v>
          </cell>
          <cell r="Q126">
            <v>7569568</v>
          </cell>
        </row>
        <row r="127">
          <cell r="C127" t="str">
            <v>SI1626</v>
          </cell>
          <cell r="D127" t="str">
            <v>M251174_01</v>
          </cell>
          <cell r="E127" t="str">
            <v>A6868_INNER CAP</v>
          </cell>
          <cell r="F127" t="str">
            <v>SI1626_250805</v>
          </cell>
          <cell r="G127" t="e">
            <v>#VALUE!</v>
          </cell>
          <cell r="H127" t="e">
            <v>#VALUE!</v>
          </cell>
          <cell r="I127" t="str">
            <v>내경</v>
          </cell>
          <cell r="J127" t="str">
            <v>⌀47.1±0.1</v>
          </cell>
          <cell r="K127" t="e">
            <v>#VALUE!</v>
          </cell>
          <cell r="L127" t="str">
            <v>외경</v>
          </cell>
          <cell r="M127" t="str">
            <v>⌀51.5±0.1</v>
          </cell>
          <cell r="N127" t="e">
            <v>#VALUE!</v>
          </cell>
          <cell r="O127" t="str">
            <v>키잡이</v>
          </cell>
          <cell r="P127" t="str">
            <v>⌀51.5±0.1</v>
          </cell>
          <cell r="Q127">
            <v>7569568</v>
          </cell>
        </row>
        <row r="128">
          <cell r="C128" t="str">
            <v>SI1626</v>
          </cell>
          <cell r="D128" t="str">
            <v>M251174_01</v>
          </cell>
          <cell r="E128" t="str">
            <v>A6868_INNER CAP</v>
          </cell>
          <cell r="F128" t="str">
            <v>SI1626_250708</v>
          </cell>
          <cell r="G128" t="e">
            <v>#VALUE!</v>
          </cell>
          <cell r="H128" t="e">
            <v>#VALUE!</v>
          </cell>
          <cell r="I128" t="str">
            <v>내경</v>
          </cell>
          <cell r="J128" t="str">
            <v>⌀47.1±0.1</v>
          </cell>
          <cell r="K128" t="e">
            <v>#VALUE!</v>
          </cell>
          <cell r="L128" t="str">
            <v>외경</v>
          </cell>
          <cell r="M128" t="str">
            <v>⌀51.7±0.1</v>
          </cell>
          <cell r="N128" t="e">
            <v>#VALUE!</v>
          </cell>
          <cell r="O128" t="str">
            <v>키잡이</v>
          </cell>
          <cell r="P128" t="str">
            <v>⌀51.5±0.1</v>
          </cell>
          <cell r="Q128">
            <v>7569568</v>
          </cell>
        </row>
        <row r="129">
          <cell r="C129" t="str">
            <v>SI1627</v>
          </cell>
          <cell r="D129" t="str">
            <v>M251176_01</v>
          </cell>
          <cell r="E129" t="str">
            <v>A6868_JAR SUPPORT</v>
          </cell>
          <cell r="F129" t="str">
            <v>SI1627_260724</v>
          </cell>
          <cell r="H129" t="e">
            <v>#VALUE!</v>
          </cell>
          <cell r="I129" t="str">
            <v>내경</v>
          </cell>
          <cell r="J129" t="str">
            <v>⌀44.1±0.1</v>
          </cell>
          <cell r="K129" t="e">
            <v>#VALUE!</v>
          </cell>
          <cell r="L129" t="str">
            <v>언더컷</v>
          </cell>
          <cell r="M129" t="str">
            <v>⌀44.1±0.1</v>
          </cell>
          <cell r="N129" t="e">
            <v>#VALUE!</v>
          </cell>
          <cell r="O129" t="str">
            <v>외경</v>
          </cell>
          <cell r="P129" t="str">
            <v>⌀59.8±0.1</v>
          </cell>
          <cell r="Q129">
            <v>7569569</v>
          </cell>
        </row>
        <row r="130">
          <cell r="C130" t="str">
            <v>SI1627</v>
          </cell>
          <cell r="D130" t="str">
            <v>M251176_01</v>
          </cell>
          <cell r="E130" t="str">
            <v>A6868_JAR SUPPORT</v>
          </cell>
          <cell r="F130" t="str">
            <v>SI1627_260701</v>
          </cell>
          <cell r="G130" t="e">
            <v>#VALUE!</v>
          </cell>
          <cell r="H130" t="e">
            <v>#VALUE!</v>
          </cell>
          <cell r="I130" t="str">
            <v>내경</v>
          </cell>
          <cell r="J130" t="str">
            <v>⌀44.1±0.1</v>
          </cell>
          <cell r="K130" t="e">
            <v>#VALUE!</v>
          </cell>
          <cell r="L130" t="str">
            <v>언더컷</v>
          </cell>
          <cell r="M130" t="str">
            <v>⌀44.1±0.1</v>
          </cell>
          <cell r="N130" t="e">
            <v>#VALUE!</v>
          </cell>
          <cell r="O130" t="str">
            <v>외경</v>
          </cell>
          <cell r="P130" t="str">
            <v>⌀59.8±0.1</v>
          </cell>
          <cell r="Q130">
            <v>7569569</v>
          </cell>
        </row>
        <row r="131">
          <cell r="C131" t="str">
            <v>SI1627</v>
          </cell>
          <cell r="D131" t="str">
            <v>M251176_01</v>
          </cell>
          <cell r="E131" t="str">
            <v>A6868_JAR SUPPORT</v>
          </cell>
          <cell r="F131" t="str">
            <v>SI1627_250708</v>
          </cell>
          <cell r="G131" t="e">
            <v>#VALUE!</v>
          </cell>
          <cell r="H131" t="e">
            <v>#VALUE!</v>
          </cell>
          <cell r="I131" t="str">
            <v>내경</v>
          </cell>
          <cell r="J131" t="str">
            <v>⌀44.1±0.1</v>
          </cell>
          <cell r="K131" t="e">
            <v>#VALUE!</v>
          </cell>
          <cell r="L131" t="str">
            <v>언더컷</v>
          </cell>
          <cell r="M131" t="str">
            <v>⌀44.1±0.1</v>
          </cell>
          <cell r="N131" t="e">
            <v>#VALUE!</v>
          </cell>
          <cell r="O131" t="str">
            <v>외경</v>
          </cell>
          <cell r="P131" t="str">
            <v>⌀59.8±0.1</v>
          </cell>
          <cell r="Q131">
            <v>7569569</v>
          </cell>
        </row>
        <row r="132">
          <cell r="C132" t="str">
            <v>SI1628</v>
          </cell>
          <cell r="D132" t="str">
            <v>M251177_01</v>
          </cell>
          <cell r="E132" t="str">
            <v>A6868_JAR</v>
          </cell>
          <cell r="F132" t="str">
            <v>SI1628_260701</v>
          </cell>
          <cell r="G132" t="e">
            <v>#VALUE!</v>
          </cell>
          <cell r="H132" t="e">
            <v>#VALUE!</v>
          </cell>
          <cell r="I132" t="str">
            <v>나사경</v>
          </cell>
          <cell r="J132" t="str">
            <v>⌀46.5±0.1</v>
          </cell>
          <cell r="N132" t="e">
            <v>#VALUE!</v>
          </cell>
          <cell r="O132" t="str">
            <v>언더컷</v>
          </cell>
          <cell r="P132" t="str">
            <v>⌀44.9±0.1</v>
          </cell>
          <cell r="Q132">
            <v>7569569</v>
          </cell>
        </row>
        <row r="133">
          <cell r="C133" t="str">
            <v>SI1628</v>
          </cell>
          <cell r="D133" t="str">
            <v>M251177_01</v>
          </cell>
          <cell r="E133" t="str">
            <v>A6868_JAR</v>
          </cell>
          <cell r="F133" t="str">
            <v>SI1628_250708</v>
          </cell>
          <cell r="G133" t="e">
            <v>#VALUE!</v>
          </cell>
          <cell r="H133" t="e">
            <v>#VALUE!</v>
          </cell>
          <cell r="I133" t="str">
            <v>나사경</v>
          </cell>
          <cell r="J133" t="str">
            <v>⌀46.5±0.1</v>
          </cell>
          <cell r="K133" t="e">
            <v>#VALUE!</v>
          </cell>
          <cell r="L133" t="str">
            <v>외경</v>
          </cell>
          <cell r="M133" t="str">
            <v>⌀46.7±0.1</v>
          </cell>
          <cell r="N133" t="e">
            <v>#VALUE!</v>
          </cell>
          <cell r="O133" t="str">
            <v>언더컷</v>
          </cell>
          <cell r="P133" t="str">
            <v>⌀44.9±0.1</v>
          </cell>
          <cell r="Q133">
            <v>7569569</v>
          </cell>
        </row>
        <row r="134">
          <cell r="C134" t="str">
            <v>SI1629</v>
          </cell>
          <cell r="D134" t="str">
            <v>M251178_01</v>
          </cell>
          <cell r="E134" t="str">
            <v>A6868_DISC</v>
          </cell>
          <cell r="F134" t="str">
            <v>SI1629_260701</v>
          </cell>
          <cell r="G134" t="e">
            <v>#VALUE!</v>
          </cell>
          <cell r="H134" t="e">
            <v>#VALUE!</v>
          </cell>
          <cell r="I134" t="str">
            <v>내경</v>
          </cell>
          <cell r="J134" t="str">
            <v>⌀34.9±0.1</v>
          </cell>
          <cell r="K134" t="e">
            <v>#VALUE!</v>
          </cell>
          <cell r="L134" t="str">
            <v>외경</v>
          </cell>
          <cell r="M134" t="str">
            <v>⌀37.6±0.1</v>
          </cell>
          <cell r="N134" t="e">
            <v>#VALUE!</v>
          </cell>
          <cell r="O134" t="str">
            <v>외고</v>
          </cell>
          <cell r="P134" t="str">
            <v>1.0±0.1</v>
          </cell>
          <cell r="Q134">
            <v>7569570</v>
          </cell>
        </row>
        <row r="135">
          <cell r="C135" t="str">
            <v>SI1629</v>
          </cell>
          <cell r="D135" t="str">
            <v>M251178_01</v>
          </cell>
          <cell r="E135" t="str">
            <v>A6868_DISC</v>
          </cell>
          <cell r="F135" t="str">
            <v>SI1629_260120</v>
          </cell>
          <cell r="G135" t="e">
            <v>#VALUE!</v>
          </cell>
          <cell r="H135" t="e">
            <v>#VALUE!</v>
          </cell>
          <cell r="I135" t="str">
            <v>내경</v>
          </cell>
          <cell r="J135" t="str">
            <v>⌀34.9±0.1</v>
          </cell>
          <cell r="K135" t="e">
            <v>#VALUE!</v>
          </cell>
          <cell r="L135" t="str">
            <v>외경</v>
          </cell>
          <cell r="M135" t="str">
            <v>⌀37.7±0.1</v>
          </cell>
          <cell r="N135" t="e">
            <v>#VALUE!</v>
          </cell>
          <cell r="O135" t="str">
            <v>외고</v>
          </cell>
          <cell r="P135" t="str">
            <v>1.0±0.1</v>
          </cell>
          <cell r="Q135">
            <v>7569570</v>
          </cell>
        </row>
        <row r="136">
          <cell r="C136" t="str">
            <v>SI1629</v>
          </cell>
          <cell r="D136" t="str">
            <v>M251178_01</v>
          </cell>
          <cell r="E136" t="str">
            <v>A6868_DISC</v>
          </cell>
          <cell r="F136" t="str">
            <v>SI1629_250708</v>
          </cell>
          <cell r="G136" t="e">
            <v>#VALUE!</v>
          </cell>
          <cell r="H136" t="e">
            <v>#VALUE!</v>
          </cell>
          <cell r="I136" t="str">
            <v>내경</v>
          </cell>
          <cell r="J136" t="str">
            <v>⌀34.9±0.1</v>
          </cell>
          <cell r="K136" t="e">
            <v>#VALUE!</v>
          </cell>
          <cell r="L136" t="str">
            <v>외경</v>
          </cell>
          <cell r="M136" t="str">
            <v>⌀37.3±0.1</v>
          </cell>
          <cell r="N136" t="e">
            <v>#VALUE!</v>
          </cell>
          <cell r="O136" t="str">
            <v>외고</v>
          </cell>
          <cell r="P136" t="str">
            <v>1.0±0.1</v>
          </cell>
          <cell r="Q136">
            <v>7569570</v>
          </cell>
        </row>
        <row r="137">
          <cell r="C137" t="str">
            <v>SI1630</v>
          </cell>
          <cell r="D137" t="str">
            <v>M251180_01</v>
          </cell>
          <cell r="E137" t="str">
            <v>A6869_OUTER CAP</v>
          </cell>
          <cell r="F137" t="str">
            <v>SI1630_250708</v>
          </cell>
          <cell r="G137" t="e">
            <v>#VALUE!</v>
          </cell>
          <cell r="H137" t="e">
            <v>#VALUE!</v>
          </cell>
          <cell r="I137" t="str">
            <v>내경</v>
          </cell>
          <cell r="J137" t="str">
            <v>⌀39.9±0.1</v>
          </cell>
          <cell r="K137" t="e">
            <v>#VALUE!</v>
          </cell>
          <cell r="L137" t="str">
            <v>키잡이</v>
          </cell>
          <cell r="M137" t="str">
            <v>⌀41.1±0.1</v>
          </cell>
          <cell r="N137" t="e">
            <v>#VALUE!</v>
          </cell>
          <cell r="O137" t="str">
            <v>외경</v>
          </cell>
          <cell r="P137" t="str">
            <v>⌀46.8±0.1</v>
          </cell>
          <cell r="Q137">
            <v>7569597</v>
          </cell>
        </row>
        <row r="138">
          <cell r="C138" t="str">
            <v>SI1631</v>
          </cell>
          <cell r="D138" t="str">
            <v>M251179_01</v>
          </cell>
          <cell r="E138" t="str">
            <v>A6869_INNER CAP</v>
          </cell>
          <cell r="F138" t="str">
            <v>SI1631_250805</v>
          </cell>
          <cell r="G138" t="e">
            <v>#VALUE!</v>
          </cell>
          <cell r="H138" t="e">
            <v>#VALUE!</v>
          </cell>
          <cell r="I138" t="str">
            <v>나사경</v>
          </cell>
          <cell r="J138" t="str">
            <v>⌀34.6±0.1</v>
          </cell>
          <cell r="K138" t="e">
            <v>#VALUE!</v>
          </cell>
          <cell r="L138" t="str">
            <v>외경</v>
          </cell>
          <cell r="M138" t="str">
            <v>⌀41.2±0.1</v>
          </cell>
          <cell r="N138" t="e">
            <v>#VALUE!</v>
          </cell>
          <cell r="O138" t="str">
            <v>키잡이</v>
          </cell>
          <cell r="P138" t="str">
            <v>⌀40.9±0.1</v>
          </cell>
          <cell r="Q138">
            <v>7569597</v>
          </cell>
        </row>
        <row r="139">
          <cell r="C139" t="str">
            <v>SI1631</v>
          </cell>
          <cell r="D139" t="str">
            <v>M251179_01</v>
          </cell>
          <cell r="E139" t="str">
            <v>A6869_INNER CAP</v>
          </cell>
          <cell r="F139" t="str">
            <v>SI1631_250708</v>
          </cell>
          <cell r="G139" t="e">
            <v>#VALUE!</v>
          </cell>
          <cell r="H139" t="e">
            <v>#VALUE!</v>
          </cell>
          <cell r="I139" t="str">
            <v>나사경</v>
          </cell>
          <cell r="J139" t="str">
            <v>⌀34.6±0.1</v>
          </cell>
          <cell r="K139" t="e">
            <v>#VALUE!</v>
          </cell>
          <cell r="L139" t="str">
            <v>외경</v>
          </cell>
          <cell r="M139" t="str">
            <v>⌀41.3±0.1</v>
          </cell>
          <cell r="N139" t="e">
            <v>#VALUE!</v>
          </cell>
          <cell r="O139" t="str">
            <v>키잡이</v>
          </cell>
          <cell r="P139" t="str">
            <v>⌀40.9±0.1</v>
          </cell>
          <cell r="Q139">
            <v>7569597</v>
          </cell>
        </row>
        <row r="140">
          <cell r="C140" t="str">
            <v>SI1632</v>
          </cell>
          <cell r="D140" t="str">
            <v>M251181_01</v>
          </cell>
          <cell r="E140" t="str">
            <v>A6869_JAR</v>
          </cell>
          <cell r="F140" t="str">
            <v>SI1632_250708</v>
          </cell>
          <cell r="G140" t="e">
            <v>#VALUE!</v>
          </cell>
          <cell r="H140" t="e">
            <v>#VALUE!</v>
          </cell>
          <cell r="I140" t="str">
            <v>나사경</v>
          </cell>
          <cell r="J140" t="str">
            <v>⌀36.1±0.1</v>
          </cell>
          <cell r="K140" t="e">
            <v>#VALUE!</v>
          </cell>
          <cell r="L140" t="str">
            <v>외경</v>
          </cell>
          <cell r="M140" t="str">
            <v>⌀36.1±0.1</v>
          </cell>
          <cell r="N140" t="e">
            <v>#VALUE!</v>
          </cell>
          <cell r="O140" t="str">
            <v>언더컷</v>
          </cell>
          <cell r="P140" t="str">
            <v>⌀34.5±0.1</v>
          </cell>
          <cell r="Q140">
            <v>7569598</v>
          </cell>
        </row>
        <row r="141">
          <cell r="C141" t="str">
            <v>SI1633</v>
          </cell>
          <cell r="D141" t="str">
            <v>M251182_01</v>
          </cell>
          <cell r="E141" t="str">
            <v>A6869_JAR SUPPORT</v>
          </cell>
          <cell r="F141" t="str">
            <v>SI1633_250708</v>
          </cell>
          <cell r="G141" t="e">
            <v>#VALUE!</v>
          </cell>
          <cell r="H141" t="e">
            <v>#VALUE!</v>
          </cell>
          <cell r="I141" t="str">
            <v>언더컷</v>
          </cell>
          <cell r="J141" t="str">
            <v>⌀33.7±0.1</v>
          </cell>
          <cell r="K141" t="e">
            <v>#VALUE!</v>
          </cell>
          <cell r="L141" t="str">
            <v>키잡이</v>
          </cell>
          <cell r="M141" t="str">
            <v>⌀35.3±0.1</v>
          </cell>
          <cell r="N141" t="e">
            <v>#VALUE!</v>
          </cell>
          <cell r="O141" t="str">
            <v>외경</v>
          </cell>
          <cell r="P141" t="str">
            <v>⌀48.1±0.1</v>
          </cell>
          <cell r="Q141">
            <v>7569598</v>
          </cell>
        </row>
        <row r="142">
          <cell r="C142" t="str">
            <v>SI1634</v>
          </cell>
          <cell r="D142" t="str">
            <v>M251183_01</v>
          </cell>
          <cell r="E142" t="str">
            <v>A6869_DISC</v>
          </cell>
          <cell r="F142" t="str">
            <v>SI1634_250708</v>
          </cell>
          <cell r="G142" t="e">
            <v>#VALUE!</v>
          </cell>
          <cell r="H142" t="e">
            <v>#VALUE!</v>
          </cell>
          <cell r="I142" t="str">
            <v>내경</v>
          </cell>
          <cell r="J142" t="str">
            <v>⌀24.5±0.1</v>
          </cell>
          <cell r="K142" t="e">
            <v>#VALUE!</v>
          </cell>
          <cell r="L142" t="str">
            <v>외경</v>
          </cell>
          <cell r="M142" t="str">
            <v>⌀26.9±0.1</v>
          </cell>
          <cell r="N142" t="e">
            <v>#VALUE!</v>
          </cell>
          <cell r="O142" t="str">
            <v>외고</v>
          </cell>
          <cell r="P142" t="str">
            <v>1.0±0.1</v>
          </cell>
          <cell r="Q142">
            <v>7569599</v>
          </cell>
        </row>
        <row r="143">
          <cell r="C143" t="str">
            <v>SI1637</v>
          </cell>
          <cell r="D143" t="str">
            <v>M251264_01</v>
          </cell>
          <cell r="E143" t="str">
            <v>A6888_OUTER JAR</v>
          </cell>
          <cell r="F143" t="str">
            <v>SI1637_251128</v>
          </cell>
          <cell r="G143" t="e">
            <v>#VALUE!</v>
          </cell>
          <cell r="H143" t="e">
            <v>#VALUE!</v>
          </cell>
          <cell r="I143" t="str">
            <v>외경</v>
          </cell>
          <cell r="J143" t="str">
            <v>⌀47.8±0.3</v>
          </cell>
          <cell r="K143" t="e">
            <v>#VALUE!</v>
          </cell>
          <cell r="L143" t="str">
            <v>내경</v>
          </cell>
          <cell r="M143" t="str">
            <v>⌀34.65±0.1</v>
          </cell>
          <cell r="N143" t="e">
            <v>#VALUE!</v>
          </cell>
          <cell r="O143" t="str">
            <v>나사경</v>
          </cell>
          <cell r="P143" t="str">
            <v>⌀39.9±0.2</v>
          </cell>
          <cell r="Q143">
            <v>7572322</v>
          </cell>
        </row>
        <row r="144">
          <cell r="C144" t="str">
            <v>SI1637</v>
          </cell>
          <cell r="D144" t="str">
            <v>M251264_01</v>
          </cell>
          <cell r="E144" t="str">
            <v>A6888_OUTER JAR</v>
          </cell>
          <cell r="F144" t="str">
            <v>SI1637_250918</v>
          </cell>
          <cell r="G144" t="e">
            <v>#VALUE!</v>
          </cell>
          <cell r="H144" t="e">
            <v>#VALUE!</v>
          </cell>
          <cell r="I144" t="str">
            <v>외경</v>
          </cell>
          <cell r="J144" t="str">
            <v>⌀47.6±0.3</v>
          </cell>
          <cell r="K144" t="e">
            <v>#VALUE!</v>
          </cell>
          <cell r="L144" t="str">
            <v>내경</v>
          </cell>
          <cell r="M144" t="str">
            <v>⌀34.6±0.1</v>
          </cell>
          <cell r="N144" t="e">
            <v>#VALUE!</v>
          </cell>
          <cell r="O144" t="str">
            <v>나사경</v>
          </cell>
          <cell r="P144" t="str">
            <v>⌀39.8±0.1</v>
          </cell>
          <cell r="Q144">
            <v>7572322</v>
          </cell>
        </row>
        <row r="145">
          <cell r="C145" t="str">
            <v>SI1637</v>
          </cell>
          <cell r="D145" t="str">
            <v>M251264_01</v>
          </cell>
          <cell r="E145" t="str">
            <v>A6888_OUTER JAR</v>
          </cell>
          <cell r="F145" t="str">
            <v>SI1637_250905</v>
          </cell>
          <cell r="G145" t="e">
            <v>#VALUE!</v>
          </cell>
          <cell r="H145" t="e">
            <v>#VALUE!</v>
          </cell>
          <cell r="I145" t="str">
            <v>외경</v>
          </cell>
          <cell r="J145" t="str">
            <v>⌀47.6±0.1</v>
          </cell>
          <cell r="K145" t="e">
            <v>#VALUE!</v>
          </cell>
          <cell r="L145" t="str">
            <v>내경</v>
          </cell>
          <cell r="M145" t="str">
            <v>⌀34.6±0.1</v>
          </cell>
          <cell r="N145" t="e">
            <v>#VALUE!</v>
          </cell>
          <cell r="O145" t="str">
            <v>나사경</v>
          </cell>
          <cell r="P145" t="str">
            <v>⌀39.8±0.1</v>
          </cell>
          <cell r="Q145">
            <v>7572322</v>
          </cell>
        </row>
        <row r="146">
          <cell r="C146" t="str">
            <v>SI1637</v>
          </cell>
          <cell r="D146" t="str">
            <v>M251264_01</v>
          </cell>
          <cell r="E146" t="str">
            <v>A6888_OUTER JAR</v>
          </cell>
          <cell r="F146" t="str">
            <v>SI1637_250711</v>
          </cell>
          <cell r="G146" t="e">
            <v>#VALUE!</v>
          </cell>
          <cell r="H146" t="e">
            <v>#VALUE!</v>
          </cell>
          <cell r="I146" t="str">
            <v>외경</v>
          </cell>
          <cell r="J146" t="str">
            <v>⌀47.6±0.1</v>
          </cell>
          <cell r="K146" t="e">
            <v>#VALUE!</v>
          </cell>
          <cell r="L146" t="str">
            <v>내경</v>
          </cell>
          <cell r="M146" t="str">
            <v>⌀34.6±0.1</v>
          </cell>
          <cell r="N146" t="e">
            <v>#VALUE!</v>
          </cell>
          <cell r="O146" t="str">
            <v>나사경</v>
          </cell>
          <cell r="P146" t="str">
            <v>⌀39.8±0.1</v>
          </cell>
          <cell r="Q146">
            <v>7572322</v>
          </cell>
        </row>
        <row r="147">
          <cell r="C147" t="str">
            <v>SI1638</v>
          </cell>
          <cell r="D147" t="str">
            <v>M251263_01</v>
          </cell>
          <cell r="E147" t="str">
            <v>A6888_INNER JAR</v>
          </cell>
          <cell r="F147" t="str">
            <v>SI1638_251202</v>
          </cell>
          <cell r="G147" t="e">
            <v>#VALUE!</v>
          </cell>
          <cell r="H147" t="e">
            <v>#VALUE!</v>
          </cell>
          <cell r="I147" t="str">
            <v>외경</v>
          </cell>
          <cell r="J147" t="str">
            <v>⌀37.0±0.1</v>
          </cell>
          <cell r="K147" t="e">
            <v>#VALUE!</v>
          </cell>
          <cell r="L147" t="str">
            <v>언더컷</v>
          </cell>
          <cell r="M147" t="str">
            <v>⌀35.1±0.1</v>
          </cell>
          <cell r="N147" t="e">
            <v>#VALUE!</v>
          </cell>
          <cell r="O147" t="str">
            <v>내경</v>
          </cell>
          <cell r="P147" t="str">
            <v>⌀29.6±0.1</v>
          </cell>
          <cell r="Q147">
            <v>7572322</v>
          </cell>
        </row>
        <row r="148">
          <cell r="C148" t="str">
            <v>SI1638</v>
          </cell>
          <cell r="D148" t="str">
            <v>M251263_01</v>
          </cell>
          <cell r="E148" t="str">
            <v>A6888_INNER JAR</v>
          </cell>
          <cell r="F148" t="str">
            <v>SI1638_251128</v>
          </cell>
          <cell r="G148" t="e">
            <v>#VALUE!</v>
          </cell>
          <cell r="H148" t="e">
            <v>#VALUE!</v>
          </cell>
          <cell r="I148" t="str">
            <v>외경</v>
          </cell>
          <cell r="J148" t="str">
            <v>⌀37.75±0.1</v>
          </cell>
          <cell r="K148" t="e">
            <v>#VALUE!</v>
          </cell>
          <cell r="L148" t="str">
            <v>언더컷</v>
          </cell>
          <cell r="M148" t="str">
            <v>⌀35.1±0.1</v>
          </cell>
          <cell r="N148" t="e">
            <v>#VALUE!</v>
          </cell>
          <cell r="O148" t="str">
            <v>내경</v>
          </cell>
          <cell r="P148" t="str">
            <v>⌀29.6±0.1</v>
          </cell>
          <cell r="Q148">
            <v>7572322</v>
          </cell>
        </row>
        <row r="149">
          <cell r="C149" t="str">
            <v>SI1638</v>
          </cell>
          <cell r="D149" t="str">
            <v>M251263_01</v>
          </cell>
          <cell r="E149" t="str">
            <v>A6888_INNER JAR</v>
          </cell>
          <cell r="F149" t="str">
            <v>SI1638_251022</v>
          </cell>
          <cell r="G149" t="e">
            <v>#VALUE!</v>
          </cell>
          <cell r="H149" t="e">
            <v>#VALUE!</v>
          </cell>
          <cell r="I149" t="str">
            <v>외경</v>
          </cell>
          <cell r="J149" t="str">
            <v>⌀37.6±0.1</v>
          </cell>
          <cell r="K149" t="e">
            <v>#VALUE!</v>
          </cell>
          <cell r="L149" t="str">
            <v>언더컷</v>
          </cell>
          <cell r="M149" t="str">
            <v>⌀35.1±0.1</v>
          </cell>
          <cell r="N149" t="e">
            <v>#VALUE!</v>
          </cell>
          <cell r="O149" t="str">
            <v>내경</v>
          </cell>
          <cell r="P149" t="str">
            <v>⌀29.6±0.1</v>
          </cell>
          <cell r="Q149">
            <v>7572322</v>
          </cell>
        </row>
        <row r="150">
          <cell r="C150" t="str">
            <v>SI1638</v>
          </cell>
          <cell r="D150" t="str">
            <v>M251263_01</v>
          </cell>
          <cell r="E150" t="str">
            <v>A6888_INNER JAR</v>
          </cell>
          <cell r="F150" t="str">
            <v>SI1638_250905</v>
          </cell>
          <cell r="G150" t="e">
            <v>#VALUE!</v>
          </cell>
          <cell r="H150" t="e">
            <v>#VALUE!</v>
          </cell>
          <cell r="I150" t="str">
            <v>외경</v>
          </cell>
          <cell r="J150" t="str">
            <v>⌀37.6±0.1</v>
          </cell>
          <cell r="K150" t="e">
            <v>#VALUE!</v>
          </cell>
          <cell r="L150" t="str">
            <v>언더컷</v>
          </cell>
          <cell r="M150" t="str">
            <v>⌀35.0±0.1</v>
          </cell>
          <cell r="N150" t="e">
            <v>#VALUE!</v>
          </cell>
          <cell r="O150" t="str">
            <v>내경</v>
          </cell>
          <cell r="P150" t="str">
            <v>⌀29.6±0.1</v>
          </cell>
          <cell r="Q150">
            <v>7572322</v>
          </cell>
        </row>
        <row r="151">
          <cell r="C151" t="str">
            <v>SI1638</v>
          </cell>
          <cell r="D151" t="str">
            <v>M251263_01</v>
          </cell>
          <cell r="E151" t="str">
            <v>A6888_INNER JAR</v>
          </cell>
          <cell r="F151" t="str">
            <v>SI1638_250711</v>
          </cell>
          <cell r="G151" t="e">
            <v>#VALUE!</v>
          </cell>
          <cell r="H151" t="e">
            <v>#VALUE!</v>
          </cell>
          <cell r="I151" t="str">
            <v>외경</v>
          </cell>
          <cell r="J151" t="str">
            <v>⌀37.6±0.1</v>
          </cell>
          <cell r="K151" t="e">
            <v>#VALUE!</v>
          </cell>
          <cell r="L151" t="str">
            <v>언더컷</v>
          </cell>
          <cell r="M151" t="str">
            <v>⌀34.9±0.1</v>
          </cell>
          <cell r="N151" t="e">
            <v>#VALUE!</v>
          </cell>
          <cell r="O151" t="str">
            <v>내경</v>
          </cell>
          <cell r="P151" t="str">
            <v>⌀29.6±0.1</v>
          </cell>
          <cell r="Q151">
            <v>7572322</v>
          </cell>
        </row>
        <row r="152">
          <cell r="C152" t="str">
            <v>SI1218</v>
          </cell>
          <cell r="D152" t="str">
            <v>M201037_01</v>
          </cell>
          <cell r="E152" t="str">
            <v>A6200_OUTER CAP</v>
          </cell>
          <cell r="F152" t="str">
            <v>SI1218_250711</v>
          </cell>
          <cell r="G152" t="e">
            <v>#VALUE!</v>
          </cell>
          <cell r="H152" t="e">
            <v>#VALUE!</v>
          </cell>
          <cell r="I152" t="str">
            <v>외경</v>
          </cell>
          <cell r="J152" t="str">
            <v>⌀47.2</v>
          </cell>
          <cell r="K152" t="e">
            <v>#VALUE!</v>
          </cell>
          <cell r="L152" t="str">
            <v>언더컷</v>
          </cell>
          <cell r="M152" t="str">
            <v>⌀43.6±0.1</v>
          </cell>
          <cell r="Q152">
            <v>7572349</v>
          </cell>
        </row>
        <row r="153">
          <cell r="C153" t="str">
            <v>SI1640</v>
          </cell>
          <cell r="D153" t="str">
            <v>M251265_01</v>
          </cell>
          <cell r="E153" t="str">
            <v>A6888_INNER CAP</v>
          </cell>
          <cell r="F153" t="str">
            <v>SI1640_251128</v>
          </cell>
          <cell r="G153" t="e">
            <v>#VALUE!</v>
          </cell>
          <cell r="H153" t="e">
            <v>#VALUE!</v>
          </cell>
          <cell r="I153" t="str">
            <v>언더컷</v>
          </cell>
          <cell r="J153" t="str">
            <v>⌀44.5±0.1</v>
          </cell>
          <cell r="K153" t="e">
            <v>#VALUE!</v>
          </cell>
          <cell r="L153" t="str">
            <v>나사경</v>
          </cell>
          <cell r="M153" t="str">
            <v>⌀38.75±0.1</v>
          </cell>
          <cell r="N153" t="e">
            <v>#VALUE!</v>
          </cell>
          <cell r="O153" t="str">
            <v>외경</v>
          </cell>
          <cell r="P153" t="str">
            <v>⌀45.1±0.1</v>
          </cell>
          <cell r="Q153">
            <v>7572349</v>
          </cell>
        </row>
        <row r="154">
          <cell r="C154" t="str">
            <v>SI1640</v>
          </cell>
          <cell r="D154" t="str">
            <v>M251265_01</v>
          </cell>
          <cell r="E154" t="str">
            <v>A6888_INNER CAP</v>
          </cell>
          <cell r="F154" t="str">
            <v>SI1640_250905</v>
          </cell>
          <cell r="G154" t="e">
            <v>#VALUE!</v>
          </cell>
          <cell r="H154" t="e">
            <v>#VALUE!</v>
          </cell>
          <cell r="I154" t="str">
            <v>언더컷</v>
          </cell>
          <cell r="J154" t="str">
            <v>⌀44.5±0.1</v>
          </cell>
          <cell r="K154" t="e">
            <v>#VALUE!</v>
          </cell>
          <cell r="L154" t="str">
            <v>나사경</v>
          </cell>
          <cell r="M154" t="str">
            <v>⌀38.55±0.1</v>
          </cell>
          <cell r="Q154">
            <v>7572349</v>
          </cell>
        </row>
        <row r="155">
          <cell r="C155" t="str">
            <v>SI1640</v>
          </cell>
          <cell r="D155" t="str">
            <v>M251265_01</v>
          </cell>
          <cell r="E155" t="str">
            <v>A6888_INNER CAP</v>
          </cell>
          <cell r="F155" t="str">
            <v>SI1640_250711</v>
          </cell>
          <cell r="G155" t="e">
            <v>#VALUE!</v>
          </cell>
          <cell r="H155" t="e">
            <v>#VALUE!</v>
          </cell>
          <cell r="I155" t="str">
            <v>언더컷</v>
          </cell>
          <cell r="J155" t="str">
            <v>⌀44.5±0.1</v>
          </cell>
          <cell r="K155" t="e">
            <v>#VALUE!</v>
          </cell>
          <cell r="L155" t="str">
            <v>나사경</v>
          </cell>
          <cell r="M155" t="str">
            <v>⌀38.3±0.1</v>
          </cell>
          <cell r="Q155">
            <v>7572349</v>
          </cell>
        </row>
        <row r="156">
          <cell r="C156" t="str">
            <v>SI1641</v>
          </cell>
          <cell r="D156" t="str">
            <v>M251266_01</v>
          </cell>
          <cell r="E156" t="str">
            <v>A6887_CAP</v>
          </cell>
          <cell r="F156" t="str">
            <v>SI1641_251128</v>
          </cell>
          <cell r="G156" t="e">
            <v>#VALUE!</v>
          </cell>
          <cell r="H156" t="e">
            <v>#VALUE!</v>
          </cell>
          <cell r="I156" t="str">
            <v>외경</v>
          </cell>
          <cell r="J156" t="str">
            <v>⌀39.85±0.1</v>
          </cell>
          <cell r="K156" t="e">
            <v>#VALUE!</v>
          </cell>
          <cell r="L156" t="str">
            <v>나사경</v>
          </cell>
          <cell r="M156" t="str">
            <v>⌀34.15±0.1</v>
          </cell>
          <cell r="N156" t="e">
            <v>#VALUE!</v>
          </cell>
          <cell r="O156" t="str">
            <v>내경</v>
          </cell>
          <cell r="P156" t="str">
            <v>⌀36.15±0.1</v>
          </cell>
          <cell r="Q156">
            <v>7572327</v>
          </cell>
        </row>
        <row r="157">
          <cell r="C157" t="str">
            <v>SI1641</v>
          </cell>
          <cell r="D157" t="str">
            <v>M251266_01</v>
          </cell>
          <cell r="E157" t="str">
            <v>A6887_CAP</v>
          </cell>
          <cell r="F157" t="str">
            <v>SI1641_250905</v>
          </cell>
          <cell r="G157" t="e">
            <v>#VALUE!</v>
          </cell>
          <cell r="H157" t="e">
            <v>#VALUE!</v>
          </cell>
          <cell r="I157" t="str">
            <v>외경</v>
          </cell>
          <cell r="J157" t="str">
            <v>⌀39.8±0.1</v>
          </cell>
          <cell r="K157" t="e">
            <v>#VALUE!</v>
          </cell>
          <cell r="L157" t="str">
            <v>나사경</v>
          </cell>
          <cell r="M157" t="str">
            <v>⌀34.1±0.1</v>
          </cell>
          <cell r="Q157">
            <v>7572327</v>
          </cell>
        </row>
        <row r="158">
          <cell r="C158" t="str">
            <v>SI1641</v>
          </cell>
          <cell r="D158" t="str">
            <v>M251266_01</v>
          </cell>
          <cell r="E158" t="str">
            <v>A6887_CAP</v>
          </cell>
          <cell r="F158" t="str">
            <v>SI1641_250711</v>
          </cell>
          <cell r="G158" t="e">
            <v>#VALUE!</v>
          </cell>
          <cell r="H158" t="e">
            <v>#VALUE!</v>
          </cell>
          <cell r="I158" t="str">
            <v>외경</v>
          </cell>
          <cell r="J158" t="str">
            <v>⌀39.8±0.1</v>
          </cell>
          <cell r="K158" t="e">
            <v>#VALUE!</v>
          </cell>
          <cell r="L158" t="str">
            <v>나사경</v>
          </cell>
          <cell r="M158" t="str">
            <v>⌀34.1±0.1</v>
          </cell>
          <cell r="Q158">
            <v>7572327</v>
          </cell>
        </row>
        <row r="159">
          <cell r="C159" t="str">
            <v>SI1643</v>
          </cell>
          <cell r="D159" t="str">
            <v>M251268_01</v>
          </cell>
          <cell r="E159" t="str">
            <v>A6887_OUTER JAR</v>
          </cell>
          <cell r="F159" t="str">
            <v>SI1643_251128</v>
          </cell>
          <cell r="G159" t="e">
            <v>#VALUE!</v>
          </cell>
          <cell r="H159" t="e">
            <v>#VALUE!</v>
          </cell>
          <cell r="I159" t="str">
            <v>외경</v>
          </cell>
          <cell r="J159" t="str">
            <v>⌀40.55±0.3</v>
          </cell>
          <cell r="K159" t="e">
            <v>#VALUE!</v>
          </cell>
          <cell r="L159" t="str">
            <v>내경</v>
          </cell>
          <cell r="M159" t="str">
            <v>⌀27.7±0.1</v>
          </cell>
          <cell r="N159" t="e">
            <v>#VALUE!</v>
          </cell>
          <cell r="O159" t="str">
            <v>나사경</v>
          </cell>
          <cell r="P159" t="str">
            <v>⌀35.95±0.1</v>
          </cell>
          <cell r="Q159">
            <v>7572328</v>
          </cell>
        </row>
        <row r="160">
          <cell r="C160" t="str">
            <v>SI1643</v>
          </cell>
          <cell r="D160" t="str">
            <v>M251268_01</v>
          </cell>
          <cell r="E160" t="str">
            <v>A6887_OUTER JAR</v>
          </cell>
          <cell r="F160" t="str">
            <v>SI1643_250905</v>
          </cell>
          <cell r="G160" t="e">
            <v>#VALUE!</v>
          </cell>
          <cell r="H160" t="e">
            <v>#VALUE!</v>
          </cell>
          <cell r="I160" t="str">
            <v>외경</v>
          </cell>
          <cell r="J160" t="str">
            <v>⌀40.2±0.3</v>
          </cell>
          <cell r="K160" t="e">
            <v>#VALUE!</v>
          </cell>
          <cell r="L160" t="str">
            <v>내경</v>
          </cell>
          <cell r="M160" t="str">
            <v>⌀27.6±0.1</v>
          </cell>
          <cell r="N160" t="e">
            <v>#VALUE!</v>
          </cell>
          <cell r="O160" t="str">
            <v>나사경</v>
          </cell>
          <cell r="P160" t="str">
            <v>⌀35.6±0.1</v>
          </cell>
          <cell r="Q160">
            <v>7572328</v>
          </cell>
        </row>
        <row r="161">
          <cell r="C161" t="str">
            <v>SI1643</v>
          </cell>
          <cell r="D161" t="str">
            <v>M251268_01</v>
          </cell>
          <cell r="E161" t="str">
            <v>A6887_OUTER JAR</v>
          </cell>
          <cell r="F161" t="str">
            <v>SI1643_250711</v>
          </cell>
          <cell r="G161" t="e">
            <v>#VALUE!</v>
          </cell>
          <cell r="H161" t="e">
            <v>#VALUE!</v>
          </cell>
          <cell r="I161" t="str">
            <v>외경</v>
          </cell>
          <cell r="J161" t="str">
            <v>⌀40.2±0.3</v>
          </cell>
          <cell r="K161" t="e">
            <v>#VALUE!</v>
          </cell>
          <cell r="L161" t="str">
            <v>내경</v>
          </cell>
          <cell r="M161" t="str">
            <v>⌀27.6±0.1</v>
          </cell>
          <cell r="O161" t="str">
            <v>나사경</v>
          </cell>
          <cell r="P161" t="str">
            <v>⌀35.6±0.1</v>
          </cell>
          <cell r="Q161">
            <v>7572328</v>
          </cell>
        </row>
        <row r="162">
          <cell r="C162" t="str">
            <v>SI1642</v>
          </cell>
          <cell r="D162" t="str">
            <v>M251267_01</v>
          </cell>
          <cell r="E162" t="str">
            <v>A6887_INNER JAR</v>
          </cell>
          <cell r="F162" t="str">
            <v>SI1642_251128</v>
          </cell>
          <cell r="G162" t="e">
            <v>#VALUE!</v>
          </cell>
          <cell r="H162" t="e">
            <v>#VALUE!</v>
          </cell>
          <cell r="I162" t="str">
            <v>외경</v>
          </cell>
          <cell r="J162" t="str">
            <v>⌀33.54±0.1</v>
          </cell>
          <cell r="K162" t="e">
            <v>#VALUE!</v>
          </cell>
          <cell r="L162" t="str">
            <v>언더컷</v>
          </cell>
          <cell r="M162" t="str">
            <v>⌀27.9±0.1</v>
          </cell>
          <cell r="N162" t="e">
            <v>#VALUE!</v>
          </cell>
          <cell r="O162" t="str">
            <v>내경</v>
          </cell>
          <cell r="P162" t="str">
            <v>⌀20.3±0.1</v>
          </cell>
          <cell r="Q162">
            <v>7572328</v>
          </cell>
        </row>
        <row r="163">
          <cell r="C163" t="str">
            <v>SI1642</v>
          </cell>
          <cell r="D163" t="str">
            <v>M251267_01</v>
          </cell>
          <cell r="E163" t="str">
            <v>A6887_INNER JAR</v>
          </cell>
          <cell r="F163" t="str">
            <v>SI1642_251027</v>
          </cell>
          <cell r="G163" t="e">
            <v>#VALUE!</v>
          </cell>
          <cell r="H163" t="e">
            <v>#VALUE!</v>
          </cell>
          <cell r="I163" t="str">
            <v>외경</v>
          </cell>
          <cell r="J163" t="str">
            <v>⌀33.4±0.1</v>
          </cell>
          <cell r="K163" t="e">
            <v>#VALUE!</v>
          </cell>
          <cell r="L163" t="str">
            <v>언더컷</v>
          </cell>
          <cell r="M163" t="str">
            <v>⌀28.2±0.1</v>
          </cell>
          <cell r="N163" t="e">
            <v>#VALUE!</v>
          </cell>
          <cell r="O163" t="str">
            <v>내경</v>
          </cell>
          <cell r="P163" t="str">
            <v>⌀20.3±0.1</v>
          </cell>
          <cell r="Q163">
            <v>7572328</v>
          </cell>
        </row>
        <row r="164">
          <cell r="C164" t="str">
            <v>SI1642</v>
          </cell>
          <cell r="D164" t="str">
            <v>M251267_01</v>
          </cell>
          <cell r="E164" t="str">
            <v>A6887_INNER JAR</v>
          </cell>
          <cell r="F164" t="str">
            <v>SI1642_250905</v>
          </cell>
          <cell r="G164" t="e">
            <v>#VALUE!</v>
          </cell>
          <cell r="H164" t="e">
            <v>#VALUE!</v>
          </cell>
          <cell r="I164" t="str">
            <v>외경</v>
          </cell>
          <cell r="J164" t="str">
            <v>⌀33.4±0.1</v>
          </cell>
          <cell r="K164" t="e">
            <v>#VALUE!</v>
          </cell>
          <cell r="L164" t="str">
            <v>언더컷</v>
          </cell>
          <cell r="M164" t="str">
            <v>⌀28.1±0.1</v>
          </cell>
          <cell r="N164" t="e">
            <v>#VALUE!</v>
          </cell>
          <cell r="O164" t="str">
            <v>내경</v>
          </cell>
          <cell r="P164" t="str">
            <v>⌀20.3±0.1</v>
          </cell>
          <cell r="Q164">
            <v>7572328</v>
          </cell>
        </row>
        <row r="165">
          <cell r="C165" t="str">
            <v>SI1642</v>
          </cell>
          <cell r="D165" t="str">
            <v>M251267_01</v>
          </cell>
          <cell r="E165" t="str">
            <v>A6887_INNER JAR</v>
          </cell>
          <cell r="F165" t="str">
            <v>SI1642_250711</v>
          </cell>
          <cell r="G165" t="e">
            <v>#VALUE!</v>
          </cell>
          <cell r="H165" t="e">
            <v>#VALUE!</v>
          </cell>
          <cell r="I165" t="str">
            <v>외경</v>
          </cell>
          <cell r="J165" t="str">
            <v>⌀33.4±0.1</v>
          </cell>
          <cell r="K165" t="e">
            <v>#VALUE!</v>
          </cell>
          <cell r="L165" t="str">
            <v>언더컷</v>
          </cell>
          <cell r="M165" t="str">
            <v>⌀27.9±0.1</v>
          </cell>
          <cell r="N165" t="e">
            <v>#VALUE!</v>
          </cell>
          <cell r="O165" t="str">
            <v>내경</v>
          </cell>
          <cell r="P165" t="str">
            <v>⌀20.3±0.1</v>
          </cell>
          <cell r="Q165">
            <v>7572328</v>
          </cell>
        </row>
        <row r="166">
          <cell r="C166" t="str">
            <v>SI1652</v>
          </cell>
          <cell r="E166" t="str">
            <v>A6898_OUTER CAP</v>
          </cell>
          <cell r="F166" t="str">
            <v>SI1652_250818</v>
          </cell>
          <cell r="G166" t="e">
            <v>#VALUE!</v>
          </cell>
          <cell r="H166" t="e">
            <v>#VALUE!</v>
          </cell>
          <cell r="I166" t="str">
            <v>외경</v>
          </cell>
          <cell r="J166" t="str">
            <v>⌀21.6</v>
          </cell>
          <cell r="K166" t="e">
            <v>#VALUE!</v>
          </cell>
          <cell r="L166" t="str">
            <v>언더컷</v>
          </cell>
          <cell r="M166" t="str">
            <v>⌀18.5±0.1</v>
          </cell>
        </row>
        <row r="167">
          <cell r="C167" t="str">
            <v>SI1653</v>
          </cell>
          <cell r="D167" t="str">
            <v>M251318_01</v>
          </cell>
          <cell r="E167" t="str">
            <v>A6898_MID CAP</v>
          </cell>
          <cell r="F167" t="str">
            <v>SI1653_250818</v>
          </cell>
          <cell r="G167" t="e">
            <v>#VALUE!</v>
          </cell>
          <cell r="H167" t="e">
            <v>#VALUE!</v>
          </cell>
          <cell r="I167" t="str">
            <v>외경</v>
          </cell>
          <cell r="J167" t="str">
            <v>⌀21.4</v>
          </cell>
          <cell r="K167" t="e">
            <v>#VALUE!</v>
          </cell>
          <cell r="L167" t="str">
            <v>언더컷</v>
          </cell>
          <cell r="M167" t="str">
            <v>⌀17.6±0.1</v>
          </cell>
        </row>
        <row r="168">
          <cell r="C168" t="str">
            <v>SI1654</v>
          </cell>
          <cell r="D168" t="str">
            <v>M251319_01</v>
          </cell>
          <cell r="E168" t="str">
            <v>A6898_INNER CAP</v>
          </cell>
          <cell r="F168" t="str">
            <v>SI1654_250818</v>
          </cell>
          <cell r="G168" t="e">
            <v>#VALUE!</v>
          </cell>
          <cell r="H168" t="e">
            <v>#VALUE!</v>
          </cell>
          <cell r="I168" t="str">
            <v>외경</v>
          </cell>
          <cell r="J168" t="str">
            <v>⌀17.5±0.1</v>
          </cell>
          <cell r="K168" t="e">
            <v>#VALUE!</v>
          </cell>
          <cell r="L168" t="str">
            <v>언더컷</v>
          </cell>
          <cell r="M168" t="str">
            <v>⌀17.0±0.1</v>
          </cell>
          <cell r="N168" t="e">
            <v>#VALUE!</v>
          </cell>
          <cell r="O168" t="str">
            <v>나사경</v>
          </cell>
          <cell r="P168" t="str">
            <v>⌀12.3±0.1</v>
          </cell>
        </row>
        <row r="169">
          <cell r="C169" t="str">
            <v>SI1655</v>
          </cell>
          <cell r="D169" t="str">
            <v>M241115_01</v>
          </cell>
          <cell r="E169" t="str">
            <v>A6742_OUTER CAP</v>
          </cell>
          <cell r="F169" t="str">
            <v>SI1655_240610</v>
          </cell>
        </row>
        <row r="170">
          <cell r="C170" t="str">
            <v>SI1668</v>
          </cell>
          <cell r="D170" t="str">
            <v>M251356_01</v>
          </cell>
          <cell r="E170" t="str">
            <v>A6918_FLIPTOP CAP</v>
          </cell>
          <cell r="F170" t="str">
            <v>SI1668_251104</v>
          </cell>
          <cell r="G170" t="e">
            <v>#VALUE!</v>
          </cell>
          <cell r="H170" t="e">
            <v>#VALUE!</v>
          </cell>
          <cell r="I170" t="str">
            <v>내경</v>
          </cell>
          <cell r="J170" t="str">
            <v>⌀83.9±0.1</v>
          </cell>
          <cell r="K170" t="e">
            <v>#VALUE!</v>
          </cell>
          <cell r="L170" t="str">
            <v>나사경</v>
          </cell>
          <cell r="M170" t="str">
            <v>⌀81.8±0.1</v>
          </cell>
          <cell r="N170" t="e">
            <v>#VALUE!</v>
          </cell>
          <cell r="O170" t="str">
            <v>언더컷</v>
          </cell>
          <cell r="P170" t="str">
            <v>⌀82.8±0.1</v>
          </cell>
          <cell r="Q170">
            <v>7576269</v>
          </cell>
        </row>
        <row r="171">
          <cell r="C171" t="str">
            <v>SI1669</v>
          </cell>
          <cell r="D171" t="str">
            <v>M251357_01</v>
          </cell>
          <cell r="E171" t="str">
            <v>A6918_SPATULA</v>
          </cell>
          <cell r="F171" t="str">
            <v>SI1669_260102</v>
          </cell>
          <cell r="G171" t="e">
            <v>#VALUE!</v>
          </cell>
          <cell r="H171" t="e">
            <v>#VALUE!</v>
          </cell>
          <cell r="I171" t="str">
            <v>내경</v>
          </cell>
          <cell r="J171" t="str">
            <v>⌀6.9±0.1</v>
          </cell>
          <cell r="K171" t="e">
            <v>#VALUE!</v>
          </cell>
          <cell r="L171" t="str">
            <v>외경</v>
          </cell>
          <cell r="M171" t="str">
            <v>⌀60.7±0.1</v>
          </cell>
          <cell r="Q171">
            <v>7576270</v>
          </cell>
        </row>
        <row r="172">
          <cell r="C172" t="str">
            <v>SI1669</v>
          </cell>
          <cell r="D172" t="str">
            <v>M251357_01</v>
          </cell>
          <cell r="E172" t="str">
            <v>A6918_SPATULA</v>
          </cell>
          <cell r="F172" t="str">
            <v>SI1669_251211</v>
          </cell>
          <cell r="G172" t="e">
            <v>#VALUE!</v>
          </cell>
          <cell r="H172" t="e">
            <v>#VALUE!</v>
          </cell>
          <cell r="I172" t="str">
            <v>내경</v>
          </cell>
          <cell r="J172" t="str">
            <v>⌀7.0±0.1</v>
          </cell>
          <cell r="K172" t="e">
            <v>#VALUE!</v>
          </cell>
          <cell r="L172" t="str">
            <v>외경</v>
          </cell>
          <cell r="M172" t="str">
            <v>⌀60.7±0.1</v>
          </cell>
          <cell r="Q172">
            <v>7576270</v>
          </cell>
        </row>
        <row r="173">
          <cell r="C173" t="str">
            <v>SI1669</v>
          </cell>
          <cell r="D173" t="str">
            <v>M251357_01</v>
          </cell>
          <cell r="E173" t="str">
            <v>A6918_SPATULA</v>
          </cell>
          <cell r="F173" t="str">
            <v>SI1669_251104</v>
          </cell>
          <cell r="G173" t="e">
            <v>#VALUE!</v>
          </cell>
          <cell r="H173" t="e">
            <v>#VALUE!</v>
          </cell>
          <cell r="I173" t="str">
            <v>내경</v>
          </cell>
          <cell r="J173" t="str">
            <v>⌀7.7±0.1</v>
          </cell>
          <cell r="K173" t="e">
            <v>#VALUE!</v>
          </cell>
          <cell r="L173" t="str">
            <v>외경</v>
          </cell>
          <cell r="M173" t="str">
            <v>⌀60.7±0.1</v>
          </cell>
          <cell r="Q173">
            <v>7576270</v>
          </cell>
        </row>
        <row r="174">
          <cell r="C174" t="str">
            <v>SI1670</v>
          </cell>
          <cell r="D174" t="str">
            <v>M251358_01</v>
          </cell>
          <cell r="E174" t="str">
            <v>A6918_DISC</v>
          </cell>
          <cell r="F174" t="str">
            <v>SI1670_260417</v>
          </cell>
          <cell r="G174" t="e">
            <v>#VALUE!</v>
          </cell>
          <cell r="H174" t="e">
            <v>#VALUE!</v>
          </cell>
          <cell r="I174" t="str">
            <v>외경</v>
          </cell>
          <cell r="J174" t="str">
            <v>⌀79.5±0.1</v>
          </cell>
          <cell r="K174" t="e">
            <v>#VALUE!</v>
          </cell>
          <cell r="L174" t="str">
            <v>내경</v>
          </cell>
          <cell r="M174" t="str">
            <v>⌀76.95±0.1</v>
          </cell>
          <cell r="Q174">
            <v>7576271</v>
          </cell>
        </row>
        <row r="175">
          <cell r="C175" t="str">
            <v>SI1670</v>
          </cell>
          <cell r="D175" t="str">
            <v>M251358_01</v>
          </cell>
          <cell r="E175" t="str">
            <v>A6918_DISC</v>
          </cell>
          <cell r="F175" t="str">
            <v>SI1670_251104</v>
          </cell>
          <cell r="G175" t="e">
            <v>#VALUE!</v>
          </cell>
          <cell r="H175" t="e">
            <v>#VALUE!</v>
          </cell>
          <cell r="I175" t="str">
            <v>외경</v>
          </cell>
          <cell r="J175" t="str">
            <v>⌀79.3±0.1</v>
          </cell>
          <cell r="K175" t="e">
            <v>#VALUE!</v>
          </cell>
          <cell r="L175" t="str">
            <v>내경</v>
          </cell>
          <cell r="M175" t="str">
            <v>⌀76.9±0.1</v>
          </cell>
          <cell r="Q175">
            <v>7576271</v>
          </cell>
        </row>
        <row r="176">
          <cell r="C176" t="str">
            <v>SI1671</v>
          </cell>
          <cell r="D176" t="str">
            <v>M251359_01</v>
          </cell>
          <cell r="E176" t="str">
            <v>A6918_BOTTLE</v>
          </cell>
          <cell r="F176" t="str">
            <v>SI1671_251104</v>
          </cell>
          <cell r="G176" t="e">
            <v>#VALUE!</v>
          </cell>
          <cell r="H176" t="e">
            <v>#VALUE!</v>
          </cell>
          <cell r="I176" t="str">
            <v>외경</v>
          </cell>
          <cell r="J176" t="str">
            <v>⌀87.8±0.1</v>
          </cell>
          <cell r="K176" t="e">
            <v>#VALUE!</v>
          </cell>
          <cell r="L176" t="str">
            <v>나사경</v>
          </cell>
          <cell r="M176" t="str">
            <v>⌀83.3±0.1</v>
          </cell>
          <cell r="Q176">
            <v>7576272</v>
          </cell>
        </row>
        <row r="177">
          <cell r="C177" t="str">
            <v>SI1661</v>
          </cell>
          <cell r="E177" t="str">
            <v>A6944_MASSAGER HANDLE</v>
          </cell>
          <cell r="F177" t="str">
            <v>SI1661_251027</v>
          </cell>
          <cell r="G177" t="e">
            <v>#VALUE!</v>
          </cell>
          <cell r="H177" t="e">
            <v>#VALUE!</v>
          </cell>
          <cell r="I177" t="str">
            <v>길이</v>
          </cell>
          <cell r="J177">
            <v>136.1</v>
          </cell>
          <cell r="K177" t="e">
            <v>#VALUE!</v>
          </cell>
          <cell r="L177" t="str">
            <v>두께</v>
          </cell>
          <cell r="M177">
            <v>15.3</v>
          </cell>
          <cell r="Q177">
            <v>7579304</v>
          </cell>
        </row>
        <row r="178">
          <cell r="C178" t="str">
            <v>SI1672</v>
          </cell>
          <cell r="D178" t="str">
            <v>M261160_01</v>
          </cell>
          <cell r="E178" t="str">
            <v>A6937_Upper case</v>
          </cell>
          <cell r="F178" t="str">
            <v>SI1672_260512</v>
          </cell>
          <cell r="G178" t="e">
            <v>#VALUE!</v>
          </cell>
          <cell r="H178" t="e">
            <v>#VALUE!</v>
          </cell>
          <cell r="I178" t="str">
            <v>외경</v>
          </cell>
          <cell r="J178" t="str">
            <v>⌀65.0</v>
          </cell>
          <cell r="K178" t="e">
            <v>#VALUE!</v>
          </cell>
          <cell r="L178" t="str">
            <v>A</v>
          </cell>
          <cell r="M178">
            <v>30.2</v>
          </cell>
          <cell r="N178" t="e">
            <v>#VALUE!</v>
          </cell>
          <cell r="O178" t="str">
            <v>C</v>
          </cell>
          <cell r="P178">
            <v>12</v>
          </cell>
        </row>
        <row r="179">
          <cell r="C179" t="str">
            <v>SI1672</v>
          </cell>
          <cell r="D179" t="str">
            <v>M261160_01</v>
          </cell>
          <cell r="E179" t="str">
            <v>A6937_Upper case</v>
          </cell>
          <cell r="F179" t="str">
            <v>SI1672_260406</v>
          </cell>
          <cell r="G179" t="e">
            <v>#VALUE!</v>
          </cell>
          <cell r="H179" t="e">
            <v>#VALUE!</v>
          </cell>
          <cell r="I179" t="str">
            <v>외경</v>
          </cell>
          <cell r="J179" t="str">
            <v>⌀65.0</v>
          </cell>
          <cell r="K179" t="e">
            <v>#VALUE!</v>
          </cell>
          <cell r="L179" t="str">
            <v>A</v>
          </cell>
          <cell r="M179">
            <v>30.2</v>
          </cell>
          <cell r="N179" t="e">
            <v>#VALUE!</v>
          </cell>
          <cell r="O179" t="str">
            <v>C</v>
          </cell>
          <cell r="P179">
            <v>12</v>
          </cell>
        </row>
        <row r="180">
          <cell r="C180" t="str">
            <v>SI1672</v>
          </cell>
          <cell r="D180" t="str">
            <v>M261160_01</v>
          </cell>
          <cell r="E180" t="str">
            <v>A6937_Upper case</v>
          </cell>
          <cell r="F180" t="str">
            <v>SI1672_251125</v>
          </cell>
          <cell r="G180" t="e">
            <v>#VALUE!</v>
          </cell>
          <cell r="H180" t="e">
            <v>#VALUE!</v>
          </cell>
          <cell r="I180" t="str">
            <v>외경</v>
          </cell>
          <cell r="J180" t="str">
            <v>⌀65.0</v>
          </cell>
          <cell r="K180" t="e">
            <v>#VALUE!</v>
          </cell>
          <cell r="L180" t="str">
            <v>A</v>
          </cell>
          <cell r="M180">
            <v>30.2</v>
          </cell>
          <cell r="N180" t="e">
            <v>#VALUE!</v>
          </cell>
          <cell r="O180" t="str">
            <v>C</v>
          </cell>
          <cell r="P180">
            <v>12</v>
          </cell>
        </row>
        <row r="181">
          <cell r="C181" t="str">
            <v>SI1673</v>
          </cell>
          <cell r="D181" t="str">
            <v>M261162_01</v>
          </cell>
          <cell r="E181" t="str">
            <v>A6937_Lower case</v>
          </cell>
          <cell r="F181" t="str">
            <v>SI1673_260512</v>
          </cell>
          <cell r="G181" t="e">
            <v>#VALUE!</v>
          </cell>
          <cell r="H181" t="e">
            <v>#VALUE!</v>
          </cell>
          <cell r="I181" t="str">
            <v>외경</v>
          </cell>
          <cell r="J181" t="str">
            <v>⌀65.0</v>
          </cell>
          <cell r="K181" t="e">
            <v>#VALUE!</v>
          </cell>
          <cell r="L181" t="str">
            <v>언더컷</v>
          </cell>
          <cell r="M181">
            <v>52.1</v>
          </cell>
          <cell r="N181" t="e">
            <v>#VALUE!</v>
          </cell>
          <cell r="O181" t="str">
            <v>C</v>
          </cell>
          <cell r="P181">
            <v>12.2</v>
          </cell>
        </row>
        <row r="182">
          <cell r="C182" t="str">
            <v>SI1673</v>
          </cell>
          <cell r="D182" t="str">
            <v>M261162_01</v>
          </cell>
          <cell r="E182" t="str">
            <v>A6937_Lower case</v>
          </cell>
          <cell r="F182" t="str">
            <v>SI1673_260406</v>
          </cell>
          <cell r="G182" t="e">
            <v>#VALUE!</v>
          </cell>
          <cell r="H182" t="e">
            <v>#VALUE!</v>
          </cell>
          <cell r="I182" t="str">
            <v>외경</v>
          </cell>
          <cell r="J182" t="str">
            <v>⌀65.0</v>
          </cell>
          <cell r="K182" t="e">
            <v>#VALUE!</v>
          </cell>
          <cell r="L182" t="str">
            <v>언더컷</v>
          </cell>
          <cell r="M182">
            <v>54.65</v>
          </cell>
          <cell r="O182" t="str">
            <v>C</v>
          </cell>
          <cell r="P182">
            <v>12.2</v>
          </cell>
        </row>
        <row r="183">
          <cell r="C183" t="str">
            <v>SI1673</v>
          </cell>
          <cell r="D183" t="str">
            <v>M261162_01</v>
          </cell>
          <cell r="E183" t="str">
            <v>A6937_Lower case</v>
          </cell>
          <cell r="F183" t="str">
            <v>SI1673_251125</v>
          </cell>
          <cell r="G183" t="e">
            <v>#VALUE!</v>
          </cell>
          <cell r="H183" t="e">
            <v>#VALUE!</v>
          </cell>
          <cell r="I183" t="str">
            <v>외경</v>
          </cell>
          <cell r="J183" t="str">
            <v>⌀65.0</v>
          </cell>
          <cell r="K183" t="e">
            <v>#VALUE!</v>
          </cell>
          <cell r="L183" t="str">
            <v>A</v>
          </cell>
          <cell r="M183">
            <v>30.3</v>
          </cell>
          <cell r="N183" t="e">
            <v>#VALUE!</v>
          </cell>
          <cell r="O183" t="str">
            <v>C</v>
          </cell>
          <cell r="P183">
            <v>12.2</v>
          </cell>
        </row>
        <row r="184">
          <cell r="C184" t="str">
            <v>SI1674</v>
          </cell>
          <cell r="D184" t="str">
            <v>M261163_01</v>
          </cell>
          <cell r="E184" t="str">
            <v>A6937_Dish</v>
          </cell>
          <cell r="F184" t="str">
            <v>SI1674_260512</v>
          </cell>
          <cell r="G184" t="e">
            <v>#VALUE!</v>
          </cell>
          <cell r="H184" t="e">
            <v>#VALUE!</v>
          </cell>
          <cell r="I184" t="str">
            <v>외경</v>
          </cell>
          <cell r="J184" t="str">
            <v>⌀53.1</v>
          </cell>
          <cell r="K184" t="e">
            <v>#VALUE!</v>
          </cell>
          <cell r="L184" t="str">
            <v>언더컷</v>
          </cell>
          <cell r="M184" t="str">
            <v>⌀52.4</v>
          </cell>
          <cell r="N184" t="e">
            <v>#VALUE!</v>
          </cell>
          <cell r="O184" t="str">
            <v>외고</v>
          </cell>
          <cell r="P184">
            <v>7.7</v>
          </cell>
        </row>
        <row r="185">
          <cell r="C185" t="str">
            <v>SI1674</v>
          </cell>
          <cell r="D185" t="str">
            <v>M261163_01</v>
          </cell>
          <cell r="E185" t="str">
            <v>A6937_Dish</v>
          </cell>
          <cell r="F185" t="str">
            <v>SI1674_260406</v>
          </cell>
          <cell r="G185" t="e">
            <v>#VALUE!</v>
          </cell>
          <cell r="H185" t="e">
            <v>#VALUE!</v>
          </cell>
          <cell r="I185" t="str">
            <v>외경</v>
          </cell>
          <cell r="J185" t="str">
            <v>⌀53.1</v>
          </cell>
          <cell r="K185" t="e">
            <v>#VALUE!</v>
          </cell>
          <cell r="L185" t="str">
            <v>언더컷</v>
          </cell>
          <cell r="M185" t="str">
            <v>⌀52.5</v>
          </cell>
          <cell r="N185" t="e">
            <v>#VALUE!</v>
          </cell>
          <cell r="O185" t="str">
            <v>외고</v>
          </cell>
          <cell r="P185">
            <v>7.5</v>
          </cell>
        </row>
        <row r="186">
          <cell r="C186" t="str">
            <v>SI1674</v>
          </cell>
          <cell r="D186" t="str">
            <v>M261163_01</v>
          </cell>
          <cell r="E186" t="str">
            <v>A6937_Dish</v>
          </cell>
          <cell r="F186" t="str">
            <v>SI1674_260224</v>
          </cell>
          <cell r="G186" t="e">
            <v>#VALUE!</v>
          </cell>
          <cell r="H186" t="e">
            <v>#VALUE!</v>
          </cell>
          <cell r="I186" t="str">
            <v>외경</v>
          </cell>
          <cell r="J186" t="str">
            <v>⌀53.1</v>
          </cell>
          <cell r="K186" t="e">
            <v>#VALUE!</v>
          </cell>
          <cell r="L186" t="str">
            <v>언더컷</v>
          </cell>
          <cell r="M186" t="str">
            <v>⌀52.2</v>
          </cell>
          <cell r="N186" t="e">
            <v>#VALUE!</v>
          </cell>
          <cell r="O186" t="str">
            <v>내고</v>
          </cell>
          <cell r="P186">
            <v>6</v>
          </cell>
        </row>
        <row r="187">
          <cell r="C187" t="str">
            <v>SI1674</v>
          </cell>
          <cell r="D187" t="str">
            <v>M261163_01</v>
          </cell>
          <cell r="E187" t="str">
            <v>A6937_Dish</v>
          </cell>
          <cell r="F187" t="str">
            <v>SI1674_251125</v>
          </cell>
          <cell r="G187" t="e">
            <v>#VALUE!</v>
          </cell>
          <cell r="H187" t="e">
            <v>#VALUE!</v>
          </cell>
          <cell r="I187" t="str">
            <v>외경</v>
          </cell>
          <cell r="J187" t="str">
            <v>⌀53.1</v>
          </cell>
          <cell r="K187" t="e">
            <v>#VALUE!</v>
          </cell>
          <cell r="L187" t="str">
            <v>언더컷</v>
          </cell>
          <cell r="M187" t="str">
            <v>⌀52.4</v>
          </cell>
          <cell r="N187" t="e">
            <v>#VALUE!</v>
          </cell>
          <cell r="O187" t="str">
            <v>내고</v>
          </cell>
          <cell r="P187">
            <v>6</v>
          </cell>
        </row>
        <row r="188">
          <cell r="C188" t="str">
            <v>SI1675</v>
          </cell>
          <cell r="D188" t="str">
            <v>M261161_01</v>
          </cell>
          <cell r="E188" t="str">
            <v>A6937_Refill Upper Case</v>
          </cell>
          <cell r="F188" t="str">
            <v>SI1675_260512</v>
          </cell>
          <cell r="G188" t="e">
            <v>#VALUE!</v>
          </cell>
          <cell r="H188" t="e">
            <v>#VALUE!</v>
          </cell>
          <cell r="I188" t="str">
            <v>외경</v>
          </cell>
          <cell r="J188" t="str">
            <v>⌀54.6</v>
          </cell>
          <cell r="K188" t="e">
            <v>#VALUE!</v>
          </cell>
          <cell r="L188" t="str">
            <v>리브</v>
          </cell>
          <cell r="M188" t="str">
            <v>⌀48.6</v>
          </cell>
          <cell r="N188" t="e">
            <v>#VALUE!</v>
          </cell>
          <cell r="O188" t="str">
            <v>외고</v>
          </cell>
          <cell r="P188">
            <v>6.2</v>
          </cell>
        </row>
        <row r="189">
          <cell r="C189" t="str">
            <v>SI1675</v>
          </cell>
          <cell r="D189" t="str">
            <v>M261161_01</v>
          </cell>
          <cell r="E189" t="str">
            <v>A6937_Refill Upper Case</v>
          </cell>
          <cell r="F189" t="str">
            <v>SI1675_260406</v>
          </cell>
          <cell r="G189" t="e">
            <v>#VALUE!</v>
          </cell>
          <cell r="H189" t="e">
            <v>#VALUE!</v>
          </cell>
          <cell r="I189" t="str">
            <v>외경</v>
          </cell>
          <cell r="J189" t="str">
            <v>⌀54.6</v>
          </cell>
          <cell r="K189" t="e">
            <v>#VALUE!</v>
          </cell>
          <cell r="L189" t="str">
            <v>리브</v>
          </cell>
          <cell r="M189" t="str">
            <v>⌀48.6</v>
          </cell>
          <cell r="N189" t="e">
            <v>#VALUE!</v>
          </cell>
          <cell r="O189" t="str">
            <v>외고</v>
          </cell>
          <cell r="P189">
            <v>6.1</v>
          </cell>
        </row>
        <row r="190">
          <cell r="C190" t="str">
            <v>SI1675</v>
          </cell>
          <cell r="D190" t="str">
            <v>M261161_01</v>
          </cell>
          <cell r="E190" t="str">
            <v>A6937_Refill Upper Case</v>
          </cell>
          <cell r="F190" t="str">
            <v>SI1675_251125</v>
          </cell>
          <cell r="G190" t="e">
            <v>#VALUE!</v>
          </cell>
          <cell r="H190" t="e">
            <v>#VALUE!</v>
          </cell>
          <cell r="I190" t="str">
            <v>외경</v>
          </cell>
          <cell r="J190" t="str">
            <v>⌀54.6</v>
          </cell>
          <cell r="K190" t="e">
            <v>#VALUE!</v>
          </cell>
          <cell r="L190" t="str">
            <v>리브</v>
          </cell>
          <cell r="M190" t="str">
            <v>⌀48.6</v>
          </cell>
          <cell r="N190" t="e">
            <v>#VALUE!</v>
          </cell>
          <cell r="O190" t="str">
            <v>외고</v>
          </cell>
          <cell r="P190">
            <v>6.1</v>
          </cell>
        </row>
        <row r="191">
          <cell r="C191" t="str">
            <v>SI1676</v>
          </cell>
          <cell r="D191" t="str">
            <v>M261164_01</v>
          </cell>
          <cell r="E191" t="str">
            <v>A6937_Refil Lower case</v>
          </cell>
          <cell r="F191" t="str">
            <v>SI1676_260512</v>
          </cell>
          <cell r="G191" t="e">
            <v>#VALUE!</v>
          </cell>
          <cell r="H191" t="e">
            <v>#VALUE!</v>
          </cell>
          <cell r="I191" t="str">
            <v>외경</v>
          </cell>
          <cell r="J191" t="str">
            <v>⌀61.3</v>
          </cell>
          <cell r="K191" t="e">
            <v>#VALUE!</v>
          </cell>
          <cell r="L191" t="str">
            <v>리브</v>
          </cell>
          <cell r="M191" t="str">
            <v>⌀54.8</v>
          </cell>
          <cell r="N191" t="e">
            <v>#VALUE!</v>
          </cell>
          <cell r="O191" t="str">
            <v>외고</v>
          </cell>
          <cell r="P191">
            <v>6.6</v>
          </cell>
        </row>
        <row r="192">
          <cell r="C192" t="str">
            <v>SI1676</v>
          </cell>
          <cell r="D192" t="str">
            <v>M261164_01</v>
          </cell>
          <cell r="E192" t="str">
            <v>A6937_Refil Lower case</v>
          </cell>
          <cell r="F192" t="str">
            <v>SI1676_260406</v>
          </cell>
          <cell r="G192" t="e">
            <v>#VALUE!</v>
          </cell>
          <cell r="H192" t="e">
            <v>#VALUE!</v>
          </cell>
          <cell r="I192" t="str">
            <v>외경</v>
          </cell>
          <cell r="J192" t="str">
            <v>⌀61.3</v>
          </cell>
          <cell r="K192" t="e">
            <v>#VALUE!</v>
          </cell>
          <cell r="L192" t="str">
            <v>리브</v>
          </cell>
          <cell r="M192" t="str">
            <v>⌀54.8</v>
          </cell>
          <cell r="N192" t="e">
            <v>#VALUE!</v>
          </cell>
          <cell r="O192" t="str">
            <v>외고</v>
          </cell>
          <cell r="P192">
            <v>6.8</v>
          </cell>
        </row>
        <row r="193">
          <cell r="C193" t="str">
            <v>SI1676</v>
          </cell>
          <cell r="D193" t="str">
            <v>M261164_01</v>
          </cell>
          <cell r="E193" t="str">
            <v>A6937_Refil Lower case</v>
          </cell>
          <cell r="F193" t="str">
            <v>SI1676_251125</v>
          </cell>
          <cell r="G193" t="e">
            <v>#VALUE!</v>
          </cell>
          <cell r="H193" t="e">
            <v>#VALUE!</v>
          </cell>
          <cell r="I193" t="str">
            <v>외경</v>
          </cell>
          <cell r="J193" t="str">
            <v>⌀61.3</v>
          </cell>
          <cell r="K193" t="e">
            <v>#VALUE!</v>
          </cell>
          <cell r="L193" t="str">
            <v>리브</v>
          </cell>
          <cell r="M193" t="str">
            <v>⌀54.8</v>
          </cell>
          <cell r="N193" t="e">
            <v>#VALUE!</v>
          </cell>
          <cell r="O193" t="str">
            <v>외고</v>
          </cell>
          <cell r="P193">
            <v>6.8</v>
          </cell>
        </row>
        <row r="194">
          <cell r="C194" t="str">
            <v>SI1678</v>
          </cell>
          <cell r="D194" t="str">
            <v>M261008_01</v>
          </cell>
          <cell r="E194" t="str">
            <v>A6867_MID CASE</v>
          </cell>
          <cell r="F194" t="str">
            <v>SI1678_260106</v>
          </cell>
          <cell r="G194" t="e">
            <v>#VALUE!</v>
          </cell>
          <cell r="H194" t="e">
            <v>#VALUE!</v>
          </cell>
          <cell r="I194" t="str">
            <v>외경</v>
          </cell>
          <cell r="J194" t="str">
            <v>⌀110.7±0.1</v>
          </cell>
          <cell r="K194" t="e">
            <v>#VALUE!</v>
          </cell>
          <cell r="L194" t="str">
            <v>언더컷</v>
          </cell>
          <cell r="M194" t="str">
            <v>⌀109.5±0.1</v>
          </cell>
          <cell r="N194" t="e">
            <v>#VALUE!</v>
          </cell>
          <cell r="O194" t="str">
            <v>외고</v>
          </cell>
          <cell r="P194" t="str">
            <v>⌀11.7±0.1</v>
          </cell>
        </row>
        <row r="195">
          <cell r="C195" t="str">
            <v>SI1679</v>
          </cell>
          <cell r="D195" t="str">
            <v>M261009_01</v>
          </cell>
          <cell r="E195" t="str">
            <v>A6867_LOWER CASE</v>
          </cell>
          <cell r="F195" t="str">
            <v>SI1679_260106</v>
          </cell>
          <cell r="G195" t="e">
            <v>#VALUE!</v>
          </cell>
          <cell r="H195" t="e">
            <v>#VALUE!</v>
          </cell>
          <cell r="I195" t="str">
            <v>외경</v>
          </cell>
          <cell r="J195" t="str">
            <v>⌀114.6±0.1</v>
          </cell>
          <cell r="K195" t="e">
            <v>#VALUE!</v>
          </cell>
          <cell r="L195" t="str">
            <v>언더컷</v>
          </cell>
          <cell r="M195" t="str">
            <v>⌀108.1±0.1</v>
          </cell>
        </row>
        <row r="196">
          <cell r="C196" t="str">
            <v>SI1682</v>
          </cell>
          <cell r="D196" t="str">
            <v>M261137_01</v>
          </cell>
          <cell r="E196" t="str">
            <v>A6984_OUTER CAP</v>
          </cell>
          <cell r="F196" t="str">
            <v>SI1682_260413</v>
          </cell>
          <cell r="G196" t="e">
            <v>#VALUE!</v>
          </cell>
          <cell r="H196" t="e">
            <v>#VALUE!</v>
          </cell>
          <cell r="I196" t="str">
            <v>외경</v>
          </cell>
          <cell r="J196" t="str">
            <v>⌀45.4±0.1</v>
          </cell>
          <cell r="K196" t="e">
            <v>#VALUE!</v>
          </cell>
          <cell r="L196" t="str">
            <v>언더컷</v>
          </cell>
          <cell r="M196" t="str">
            <v>⌀41.8±0.1</v>
          </cell>
          <cell r="N196" t="e">
            <v>#VALUE!</v>
          </cell>
          <cell r="O196" t="str">
            <v>키잡이</v>
          </cell>
          <cell r="P196" t="str">
            <v>⌀43.2±0.1</v>
          </cell>
          <cell r="Q196">
            <v>7584578</v>
          </cell>
        </row>
        <row r="197">
          <cell r="C197" t="str">
            <v>SI1683</v>
          </cell>
          <cell r="D197" t="str">
            <v>M261138_01</v>
          </cell>
          <cell r="E197" t="str">
            <v>A6984_INNER CAP</v>
          </cell>
          <cell r="F197" t="str">
            <v>SI1683_260413</v>
          </cell>
          <cell r="G197" t="e">
            <v>#VALUE!</v>
          </cell>
          <cell r="H197" t="e">
            <v>#VALUE!</v>
          </cell>
          <cell r="I197" t="str">
            <v>외경</v>
          </cell>
          <cell r="J197" t="str">
            <v>⌀43.2±0.1</v>
          </cell>
          <cell r="K197" t="e">
            <v>#VALUE!</v>
          </cell>
          <cell r="L197" t="str">
            <v>언더컷</v>
          </cell>
          <cell r="M197" t="str">
            <v>⌀42.7±0.1</v>
          </cell>
          <cell r="N197" t="e">
            <v>#VALUE!</v>
          </cell>
          <cell r="O197" t="str">
            <v>나사경</v>
          </cell>
          <cell r="P197" t="str">
            <v>⌀20.5±0.1</v>
          </cell>
          <cell r="Q197">
            <v>7584578</v>
          </cell>
        </row>
        <row r="198">
          <cell r="C198" t="str">
            <v>SI1684</v>
          </cell>
          <cell r="D198" t="str">
            <v>M261136_01</v>
          </cell>
          <cell r="E198" t="str">
            <v>A6984_REDUCER</v>
          </cell>
          <cell r="F198" t="str">
            <v>SI1684_260804</v>
          </cell>
          <cell r="G198" t="e">
            <v>#VALUE!</v>
          </cell>
          <cell r="H198" t="e">
            <v>#VALUE!</v>
          </cell>
          <cell r="I198" t="str">
            <v>외경</v>
          </cell>
          <cell r="J198" t="str">
            <v>⌀19.8±0.1</v>
          </cell>
          <cell r="K198" t="e">
            <v>#VALUE!</v>
          </cell>
          <cell r="L198" t="str">
            <v>언더컷</v>
          </cell>
          <cell r="M198" t="str">
            <v>⌀14.8±0.1</v>
          </cell>
          <cell r="N198" t="e">
            <v>#VALUE!</v>
          </cell>
          <cell r="O198" t="str">
            <v>내경</v>
          </cell>
          <cell r="P198" t="str">
            <v>⌀11.7±0.1</v>
          </cell>
          <cell r="Q198">
            <v>7584579</v>
          </cell>
        </row>
        <row r="199">
          <cell r="C199" t="str">
            <v>SI1684</v>
          </cell>
          <cell r="D199" t="str">
            <v>M261136_01</v>
          </cell>
          <cell r="E199" t="str">
            <v>A6984_REDUCER</v>
          </cell>
          <cell r="F199" t="str">
            <v>SI1684_260413</v>
          </cell>
          <cell r="G199" t="e">
            <v>#VALUE!</v>
          </cell>
          <cell r="H199" t="e">
            <v>#VALUE!</v>
          </cell>
          <cell r="I199" t="str">
            <v>외경</v>
          </cell>
          <cell r="J199" t="str">
            <v>⌀19.8±0.1</v>
          </cell>
          <cell r="K199" t="e">
            <v>#VALUE!</v>
          </cell>
          <cell r="L199" t="str">
            <v>언더컷</v>
          </cell>
          <cell r="M199" t="str">
            <v>⌀15.5±0.1</v>
          </cell>
          <cell r="N199" t="e">
            <v>#VALUE!</v>
          </cell>
          <cell r="O199" t="str">
            <v>내경</v>
          </cell>
          <cell r="P199" t="str">
            <v>⌀11.7±0.1</v>
          </cell>
          <cell r="Q199">
            <v>7584579</v>
          </cell>
        </row>
        <row r="200">
          <cell r="C200" t="str">
            <v>SI1685</v>
          </cell>
          <cell r="E200" t="str">
            <v>A7001_INNER CAP</v>
          </cell>
          <cell r="F200" t="str">
            <v>SI1685_260612</v>
          </cell>
          <cell r="G200" t="e">
            <v>#VALUE!</v>
          </cell>
          <cell r="H200" t="e">
            <v>#VALUE!</v>
          </cell>
          <cell r="I200" t="str">
            <v>외경</v>
          </cell>
          <cell r="J200" t="str">
            <v>⌀13.8±0.1</v>
          </cell>
          <cell r="K200" t="e">
            <v>#VALUE!</v>
          </cell>
          <cell r="L200" t="str">
            <v>내경</v>
          </cell>
          <cell r="M200" t="str">
            <v>⌀8.9±0.1</v>
          </cell>
          <cell r="N200" t="e">
            <v>#VALUE!</v>
          </cell>
          <cell r="O200" t="str">
            <v>나사경</v>
          </cell>
          <cell r="P200" t="str">
            <v>⌀7.9±0.1</v>
          </cell>
          <cell r="Q200">
            <v>7585793</v>
          </cell>
        </row>
        <row r="201">
          <cell r="C201" t="str">
            <v>SI1685</v>
          </cell>
          <cell r="E201" t="str">
            <v>A7001_INNER CAP</v>
          </cell>
          <cell r="F201" t="str">
            <v>SI1685_260526</v>
          </cell>
          <cell r="Q201">
            <v>7585793</v>
          </cell>
        </row>
        <row r="202">
          <cell r="C202" t="str">
            <v>SI1695</v>
          </cell>
          <cell r="D202" t="str">
            <v>M261230_01</v>
          </cell>
          <cell r="F202" t="str">
            <v>SI1695_260724</v>
          </cell>
          <cell r="Q202">
            <v>7588157</v>
          </cell>
        </row>
        <row r="203">
          <cell r="C203" t="str">
            <v>SI1695</v>
          </cell>
          <cell r="D203" t="str">
            <v>M261230_01</v>
          </cell>
          <cell r="F203" t="str">
            <v>SI1695_260615</v>
          </cell>
          <cell r="Q203">
            <v>7588157</v>
          </cell>
        </row>
        <row r="204">
          <cell r="C204" t="str">
            <v>SI1695</v>
          </cell>
          <cell r="D204" t="str">
            <v>M261230_01</v>
          </cell>
          <cell r="F204" t="str">
            <v>SI1695_260527</v>
          </cell>
          <cell r="I204" t="str">
            <v>외경</v>
          </cell>
          <cell r="J204" t="str">
            <v>⌀55.5±0.1</v>
          </cell>
          <cell r="L204" t="str">
            <v>언더컷B</v>
          </cell>
          <cell r="M204" t="str">
            <v>⌀51.9±0.1</v>
          </cell>
          <cell r="O204" t="str">
            <v>나사경</v>
          </cell>
          <cell r="P204" t="str">
            <v>⌀23.9±0.1</v>
          </cell>
          <cell r="Q204">
            <v>7588157</v>
          </cell>
        </row>
        <row r="205">
          <cell r="C205" t="str">
            <v>SI1694</v>
          </cell>
          <cell r="D205" t="str">
            <v>M261228_01</v>
          </cell>
          <cell r="F205" t="str">
            <v>SI1694_260724</v>
          </cell>
          <cell r="Q205">
            <v>7588155</v>
          </cell>
        </row>
        <row r="206">
          <cell r="C206" t="str">
            <v>SI1694</v>
          </cell>
          <cell r="D206" t="str">
            <v>M261228_01</v>
          </cell>
          <cell r="F206" t="str">
            <v>SI1694_260615</v>
          </cell>
          <cell r="I206" t="str">
            <v>외경</v>
          </cell>
          <cell r="J206" t="str">
            <v>⌀40.5±0.1</v>
          </cell>
          <cell r="L206" t="str">
            <v>언더컷B</v>
          </cell>
          <cell r="M206" t="str">
            <v>⌀36.9±0.1</v>
          </cell>
          <cell r="O206" t="str">
            <v>나사경</v>
          </cell>
          <cell r="P206" t="str">
            <v>⌀23.9±0.1</v>
          </cell>
          <cell r="Q206">
            <v>7588155</v>
          </cell>
        </row>
        <row r="207">
          <cell r="C207" t="str">
            <v>SI1694</v>
          </cell>
          <cell r="D207" t="str">
            <v>M261228_01</v>
          </cell>
          <cell r="F207" t="str">
            <v>SI1694_260527</v>
          </cell>
          <cell r="G207" t="e">
            <v>#VALUE!</v>
          </cell>
          <cell r="H207" t="e">
            <v>#VALUE!</v>
          </cell>
          <cell r="I207" t="str">
            <v>외경</v>
          </cell>
          <cell r="J207" t="str">
            <v>⌀40.5±0.1</v>
          </cell>
          <cell r="K207" t="e">
            <v>#VALUE!</v>
          </cell>
          <cell r="L207" t="str">
            <v>언더컷B</v>
          </cell>
          <cell r="M207" t="str">
            <v>⌀36.9±0.1</v>
          </cell>
          <cell r="N207" t="e">
            <v>#VALUE!</v>
          </cell>
          <cell r="O207" t="str">
            <v>나사경</v>
          </cell>
          <cell r="P207" t="str">
            <v>⌀23.9±0.1</v>
          </cell>
          <cell r="Q207">
            <v>7588155</v>
          </cell>
        </row>
      </sheetData>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사출기 및 로보트 현황"/>
    </sheetNames>
    <sheetDataSet>
      <sheetData sheetId="0">
        <row r="1">
          <cell r="A1" t="str">
            <v>호기</v>
          </cell>
          <cell r="B1" t="str">
            <v>TON</v>
          </cell>
        </row>
        <row r="2">
          <cell r="A2">
            <v>1</v>
          </cell>
          <cell r="B2">
            <v>220</v>
          </cell>
        </row>
        <row r="3">
          <cell r="A3">
            <v>2</v>
          </cell>
          <cell r="B3">
            <v>350</v>
          </cell>
        </row>
        <row r="4">
          <cell r="A4">
            <v>4</v>
          </cell>
          <cell r="B4">
            <v>280</v>
          </cell>
        </row>
        <row r="5">
          <cell r="A5">
            <v>3</v>
          </cell>
          <cell r="B5">
            <v>350</v>
          </cell>
        </row>
        <row r="6">
          <cell r="A6">
            <v>5</v>
          </cell>
          <cell r="B6">
            <v>170</v>
          </cell>
        </row>
        <row r="7">
          <cell r="A7">
            <v>6</v>
          </cell>
          <cell r="B7">
            <v>180</v>
          </cell>
        </row>
        <row r="8">
          <cell r="A8">
            <v>7</v>
          </cell>
          <cell r="B8">
            <v>200</v>
          </cell>
        </row>
        <row r="9">
          <cell r="A9">
            <v>8</v>
          </cell>
          <cell r="B9">
            <v>200</v>
          </cell>
        </row>
        <row r="10">
          <cell r="A10">
            <v>9</v>
          </cell>
          <cell r="B10">
            <v>200</v>
          </cell>
        </row>
        <row r="11">
          <cell r="A11">
            <v>10</v>
          </cell>
          <cell r="B11">
            <v>250</v>
          </cell>
        </row>
        <row r="12">
          <cell r="A12">
            <v>11</v>
          </cell>
          <cell r="B12">
            <v>250</v>
          </cell>
        </row>
        <row r="13">
          <cell r="A13">
            <v>12</v>
          </cell>
          <cell r="B13">
            <v>280</v>
          </cell>
        </row>
        <row r="14">
          <cell r="A14">
            <v>13</v>
          </cell>
          <cell r="B14">
            <v>220</v>
          </cell>
        </row>
        <row r="15">
          <cell r="A15">
            <v>14</v>
          </cell>
          <cell r="B15">
            <v>250</v>
          </cell>
        </row>
        <row r="16">
          <cell r="A16">
            <v>15</v>
          </cell>
          <cell r="B16">
            <v>250</v>
          </cell>
        </row>
        <row r="17">
          <cell r="A17">
            <v>16</v>
          </cell>
          <cell r="B17">
            <v>200</v>
          </cell>
        </row>
        <row r="18">
          <cell r="A18">
            <v>17</v>
          </cell>
          <cell r="B18">
            <v>250</v>
          </cell>
        </row>
        <row r="19">
          <cell r="A19">
            <v>18</v>
          </cell>
          <cell r="B19">
            <v>280</v>
          </cell>
        </row>
        <row r="20">
          <cell r="A20">
            <v>19</v>
          </cell>
          <cell r="B20">
            <v>280</v>
          </cell>
        </row>
        <row r="21">
          <cell r="A21">
            <v>20</v>
          </cell>
          <cell r="B21">
            <v>150</v>
          </cell>
        </row>
        <row r="22">
          <cell r="A22">
            <v>21</v>
          </cell>
          <cell r="B22">
            <v>220</v>
          </cell>
        </row>
        <row r="23">
          <cell r="A23">
            <v>22</v>
          </cell>
          <cell r="B23">
            <v>220</v>
          </cell>
        </row>
        <row r="24">
          <cell r="A24">
            <v>23</v>
          </cell>
          <cell r="B24">
            <v>220</v>
          </cell>
        </row>
        <row r="25">
          <cell r="A25">
            <v>24</v>
          </cell>
          <cell r="B25">
            <v>220</v>
          </cell>
        </row>
        <row r="26">
          <cell r="A26">
            <v>25</v>
          </cell>
          <cell r="B26">
            <v>220</v>
          </cell>
        </row>
        <row r="27">
          <cell r="A27">
            <v>26</v>
          </cell>
          <cell r="B27">
            <v>250</v>
          </cell>
        </row>
        <row r="28">
          <cell r="A28">
            <v>27</v>
          </cell>
          <cell r="B28">
            <v>180</v>
          </cell>
        </row>
        <row r="29">
          <cell r="A29">
            <v>28</v>
          </cell>
          <cell r="B29">
            <v>220</v>
          </cell>
        </row>
        <row r="30">
          <cell r="A30">
            <v>29</v>
          </cell>
          <cell r="B30">
            <v>280</v>
          </cell>
        </row>
        <row r="31">
          <cell r="A31">
            <v>30</v>
          </cell>
          <cell r="B31">
            <v>300</v>
          </cell>
        </row>
        <row r="32">
          <cell r="A32">
            <v>31</v>
          </cell>
          <cell r="B32">
            <v>300</v>
          </cell>
        </row>
        <row r="33">
          <cell r="A33">
            <v>32</v>
          </cell>
          <cell r="B33">
            <v>280</v>
          </cell>
        </row>
        <row r="34">
          <cell r="A34">
            <v>33</v>
          </cell>
          <cell r="B34">
            <v>300</v>
          </cell>
        </row>
        <row r="35">
          <cell r="A35">
            <v>34</v>
          </cell>
          <cell r="B35">
            <v>180</v>
          </cell>
        </row>
        <row r="36">
          <cell r="A36">
            <v>35</v>
          </cell>
          <cell r="B36">
            <v>200</v>
          </cell>
        </row>
        <row r="37">
          <cell r="A37" t="str">
            <v>TEST기</v>
          </cell>
          <cell r="B37">
            <v>220</v>
          </cell>
        </row>
        <row r="40">
          <cell r="A40"/>
        </row>
        <row r="47">
          <cell r="A47">
            <v>18</v>
          </cell>
          <cell r="B47">
            <v>200</v>
          </cell>
        </row>
        <row r="48">
          <cell r="A48">
            <v>19</v>
          </cell>
          <cell r="B48">
            <v>200</v>
          </cell>
        </row>
        <row r="49">
          <cell r="A49">
            <v>5</v>
          </cell>
          <cell r="B49">
            <v>170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실험지시_김도균"/>
      <sheetName val="작업지시서"/>
      <sheetName val="출력물"/>
      <sheetName val="조건입력"/>
      <sheetName val="측정_사출즉시"/>
      <sheetName val="사출실험_사출"/>
      <sheetName val="사출실험_보압"/>
      <sheetName val="사출실험_계량"/>
      <sheetName val="사출실험_온도"/>
      <sheetName val="사출실험_CYCLE TIME"/>
      <sheetName val="측정"/>
    </sheetNames>
    <sheetDataSet>
      <sheetData sheetId="0"/>
      <sheetData sheetId="1"/>
      <sheetData sheetId="2"/>
      <sheetData sheetId="3"/>
      <sheetData sheetId="4"/>
      <sheetData sheetId="5">
        <row r="1">
          <cell r="A1" t="str">
            <v>의뢰코드</v>
          </cell>
          <cell r="B1" t="str">
            <v>실험일자</v>
          </cell>
          <cell r="C1" t="str">
            <v>사출_속도1</v>
          </cell>
          <cell r="D1" t="str">
            <v>사출_속도2</v>
          </cell>
          <cell r="E1" t="str">
            <v>사출_속도3</v>
          </cell>
          <cell r="F1" t="str">
            <v>사출_속도4</v>
          </cell>
          <cell r="G1" t="str">
            <v>사출_속도5</v>
          </cell>
          <cell r="H1" t="str">
            <v>사출_속도6</v>
          </cell>
          <cell r="I1" t="str">
            <v>사출_속도7</v>
          </cell>
          <cell r="J1" t="str">
            <v>사출_속도8</v>
          </cell>
          <cell r="K1" t="str">
            <v>사출_속도9</v>
          </cell>
          <cell r="L1" t="str">
            <v>사출_속도10</v>
          </cell>
          <cell r="M1" t="str">
            <v>사출_압력1</v>
          </cell>
          <cell r="N1" t="str">
            <v>사출_압력2</v>
          </cell>
          <cell r="O1" t="str">
            <v>사출_압력3</v>
          </cell>
          <cell r="P1" t="str">
            <v>사출_압력4</v>
          </cell>
          <cell r="Q1" t="str">
            <v>사출_압력5</v>
          </cell>
          <cell r="R1" t="str">
            <v>사출_압력6</v>
          </cell>
          <cell r="S1" t="str">
            <v>사출_압력7</v>
          </cell>
          <cell r="T1" t="str">
            <v>사출_압력8</v>
          </cell>
          <cell r="U1" t="str">
            <v>사출_압력9</v>
          </cell>
          <cell r="V1" t="str">
            <v>사출_압력10</v>
          </cell>
          <cell r="W1" t="str">
            <v>사출_거리1</v>
          </cell>
          <cell r="X1" t="str">
            <v>사출_거리2</v>
          </cell>
          <cell r="Y1" t="str">
            <v>사출_거리3</v>
          </cell>
          <cell r="Z1" t="str">
            <v>사출_거리4</v>
          </cell>
          <cell r="AA1" t="str">
            <v>사출_거리5</v>
          </cell>
          <cell r="AB1" t="str">
            <v>사출_거리6</v>
          </cell>
          <cell r="AC1" t="str">
            <v>사출_거리7</v>
          </cell>
          <cell r="AD1" t="str">
            <v>사출_거리8</v>
          </cell>
          <cell r="AE1" t="str">
            <v>사출_거리9</v>
          </cell>
          <cell r="AF1" t="str">
            <v>사출_거리10</v>
          </cell>
        </row>
        <row r="2">
          <cell r="A2" t="str">
            <v>SI1621_20260707</v>
          </cell>
          <cell r="B2">
            <v>46210</v>
          </cell>
          <cell r="C2">
            <v>18</v>
          </cell>
          <cell r="D2">
            <v>20</v>
          </cell>
          <cell r="E2">
            <v>20</v>
          </cell>
          <cell r="F2">
            <v>18</v>
          </cell>
          <cell r="M2">
            <v>110</v>
          </cell>
          <cell r="N2">
            <v>110</v>
          </cell>
          <cell r="O2">
            <v>110</v>
          </cell>
          <cell r="P2">
            <v>110</v>
          </cell>
          <cell r="W2">
            <v>50</v>
          </cell>
          <cell r="X2">
            <v>45</v>
          </cell>
          <cell r="Y2">
            <v>38</v>
          </cell>
          <cell r="Z2">
            <v>33</v>
          </cell>
        </row>
        <row r="3">
          <cell r="A3" t="str">
            <v>SI1615_20260707</v>
          </cell>
          <cell r="B3">
            <v>46210</v>
          </cell>
          <cell r="C3">
            <v>26</v>
          </cell>
          <cell r="D3">
            <v>32</v>
          </cell>
          <cell r="E3">
            <v>26</v>
          </cell>
          <cell r="M3">
            <v>95</v>
          </cell>
          <cell r="N3">
            <v>95</v>
          </cell>
          <cell r="O3">
            <v>95</v>
          </cell>
          <cell r="W3">
            <v>28</v>
          </cell>
          <cell r="X3">
            <v>25</v>
          </cell>
          <cell r="Y3">
            <v>23</v>
          </cell>
        </row>
        <row r="4">
          <cell r="A4" t="str">
            <v>SI1618_20260707</v>
          </cell>
          <cell r="B4">
            <v>46210</v>
          </cell>
          <cell r="C4">
            <v>15</v>
          </cell>
          <cell r="D4">
            <v>25</v>
          </cell>
          <cell r="E4">
            <v>23</v>
          </cell>
          <cell r="F4">
            <v>20</v>
          </cell>
          <cell r="M4">
            <v>90</v>
          </cell>
          <cell r="N4">
            <v>90</v>
          </cell>
          <cell r="O4">
            <v>90</v>
          </cell>
          <cell r="P4">
            <v>90</v>
          </cell>
          <cell r="W4">
            <v>40</v>
          </cell>
          <cell r="X4">
            <v>30</v>
          </cell>
          <cell r="Y4">
            <v>25</v>
          </cell>
          <cell r="Z4">
            <v>20</v>
          </cell>
        </row>
        <row r="5">
          <cell r="A5" t="str">
            <v>SI1674_20260703</v>
          </cell>
          <cell r="B5" t="str">
            <v/>
          </cell>
          <cell r="C5">
            <v>10</v>
          </cell>
          <cell r="D5">
            <v>20</v>
          </cell>
          <cell r="E5">
            <v>25</v>
          </cell>
          <cell r="F5">
            <v>15</v>
          </cell>
          <cell r="M5">
            <v>700</v>
          </cell>
          <cell r="N5">
            <v>700</v>
          </cell>
          <cell r="O5">
            <v>700</v>
          </cell>
          <cell r="P5">
            <v>700</v>
          </cell>
          <cell r="W5">
            <v>45</v>
          </cell>
          <cell r="X5">
            <v>40</v>
          </cell>
          <cell r="Y5">
            <v>35</v>
          </cell>
          <cell r="Z5">
            <v>27</v>
          </cell>
        </row>
        <row r="6">
          <cell r="A6" t="str">
            <v>SI1617_20260629</v>
          </cell>
          <cell r="B6">
            <v>46202</v>
          </cell>
          <cell r="C6">
            <v>8</v>
          </cell>
          <cell r="D6">
            <v>10</v>
          </cell>
          <cell r="E6">
            <v>10</v>
          </cell>
          <cell r="F6">
            <v>10</v>
          </cell>
          <cell r="G6">
            <v>10</v>
          </cell>
          <cell r="M6">
            <v>140</v>
          </cell>
          <cell r="N6">
            <v>140</v>
          </cell>
          <cell r="O6">
            <v>140</v>
          </cell>
          <cell r="P6">
            <v>140</v>
          </cell>
          <cell r="Q6">
            <v>140</v>
          </cell>
          <cell r="W6">
            <v>50</v>
          </cell>
          <cell r="X6">
            <v>45</v>
          </cell>
          <cell r="Y6">
            <v>40</v>
          </cell>
          <cell r="Z6">
            <v>36</v>
          </cell>
        </row>
        <row r="7">
          <cell r="A7" t="str">
            <v>SI1618_20260629</v>
          </cell>
          <cell r="B7">
            <v>46202</v>
          </cell>
          <cell r="C7">
            <v>15</v>
          </cell>
          <cell r="D7">
            <v>25</v>
          </cell>
          <cell r="E7">
            <v>20</v>
          </cell>
          <cell r="F7">
            <v>15</v>
          </cell>
          <cell r="G7">
            <v>10</v>
          </cell>
          <cell r="M7">
            <v>90</v>
          </cell>
          <cell r="N7">
            <v>40</v>
          </cell>
          <cell r="O7">
            <v>90</v>
          </cell>
          <cell r="P7">
            <v>90</v>
          </cell>
          <cell r="Q7">
            <v>90</v>
          </cell>
          <cell r="W7">
            <v>70</v>
          </cell>
          <cell r="X7">
            <v>65</v>
          </cell>
          <cell r="Y7">
            <v>55</v>
          </cell>
          <cell r="Z7">
            <v>50</v>
          </cell>
        </row>
        <row r="8">
          <cell r="A8" t="str">
            <v>SI1619_20260625</v>
          </cell>
          <cell r="B8">
            <v>46198</v>
          </cell>
          <cell r="C8">
            <v>5</v>
          </cell>
          <cell r="D8">
            <v>2.5</v>
          </cell>
          <cell r="E8">
            <v>4</v>
          </cell>
          <cell r="F8">
            <v>8</v>
          </cell>
          <cell r="M8">
            <v>180</v>
          </cell>
          <cell r="N8">
            <v>180</v>
          </cell>
          <cell r="O8">
            <v>180</v>
          </cell>
          <cell r="P8">
            <v>180</v>
          </cell>
          <cell r="W8">
            <v>66</v>
          </cell>
          <cell r="X8">
            <v>60</v>
          </cell>
          <cell r="Y8">
            <v>30</v>
          </cell>
          <cell r="Z8">
            <v>18</v>
          </cell>
        </row>
        <row r="9">
          <cell r="A9" t="str">
            <v>SI1623_20260619</v>
          </cell>
          <cell r="B9">
            <v>46192</v>
          </cell>
          <cell r="C9">
            <v>8</v>
          </cell>
          <cell r="D9">
            <v>10</v>
          </cell>
          <cell r="E9">
            <v>10</v>
          </cell>
          <cell r="F9">
            <v>8</v>
          </cell>
          <cell r="M9">
            <v>120</v>
          </cell>
          <cell r="N9">
            <v>120</v>
          </cell>
          <cell r="O9">
            <v>120</v>
          </cell>
          <cell r="P9">
            <v>120</v>
          </cell>
          <cell r="W9">
            <v>45</v>
          </cell>
          <cell r="X9">
            <v>40</v>
          </cell>
          <cell r="Y9">
            <v>35</v>
          </cell>
          <cell r="Z9">
            <v>32</v>
          </cell>
        </row>
        <row r="10">
          <cell r="A10" t="str">
            <v>SI1615_20260618</v>
          </cell>
          <cell r="B10">
            <v>46191</v>
          </cell>
          <cell r="C10">
            <v>20</v>
          </cell>
          <cell r="D10">
            <v>30</v>
          </cell>
          <cell r="E10">
            <v>30</v>
          </cell>
          <cell r="F10">
            <v>20</v>
          </cell>
          <cell r="M10">
            <v>100</v>
          </cell>
          <cell r="N10">
            <v>100</v>
          </cell>
          <cell r="O10">
            <v>100</v>
          </cell>
          <cell r="P10">
            <v>100</v>
          </cell>
          <cell r="W10">
            <v>38</v>
          </cell>
          <cell r="X10">
            <v>35</v>
          </cell>
          <cell r="Y10">
            <v>33</v>
          </cell>
          <cell r="Z10">
            <v>31</v>
          </cell>
        </row>
        <row r="11">
          <cell r="A11" t="str">
            <v>SI1616_20260612</v>
          </cell>
          <cell r="B11">
            <v>46185</v>
          </cell>
          <cell r="C11">
            <v>30</v>
          </cell>
          <cell r="D11">
            <v>35</v>
          </cell>
          <cell r="E11">
            <v>35</v>
          </cell>
          <cell r="F11">
            <v>25</v>
          </cell>
          <cell r="M11">
            <v>145</v>
          </cell>
          <cell r="N11">
            <v>145</v>
          </cell>
          <cell r="O11">
            <v>145</v>
          </cell>
          <cell r="P11">
            <v>145</v>
          </cell>
          <cell r="W11">
            <v>25</v>
          </cell>
          <cell r="X11">
            <v>20</v>
          </cell>
          <cell r="Y11">
            <v>15</v>
          </cell>
          <cell r="Z11">
            <v>12</v>
          </cell>
        </row>
        <row r="12">
          <cell r="A12" t="str">
            <v>SI1679_20260611</v>
          </cell>
          <cell r="B12">
            <v>46184</v>
          </cell>
          <cell r="C12">
            <v>15</v>
          </cell>
          <cell r="D12">
            <v>20</v>
          </cell>
          <cell r="E12">
            <v>25</v>
          </cell>
          <cell r="F12">
            <v>15</v>
          </cell>
          <cell r="M12">
            <v>100</v>
          </cell>
          <cell r="N12">
            <v>100</v>
          </cell>
          <cell r="O12">
            <v>100</v>
          </cell>
          <cell r="P12">
            <v>100</v>
          </cell>
          <cell r="W12">
            <v>55</v>
          </cell>
          <cell r="X12">
            <v>50</v>
          </cell>
          <cell r="Y12">
            <v>40</v>
          </cell>
          <cell r="Z12">
            <v>35</v>
          </cell>
        </row>
        <row r="13">
          <cell r="A13" t="str">
            <v>SI1678_20260611</v>
          </cell>
          <cell r="B13">
            <v>46184</v>
          </cell>
          <cell r="C13">
            <v>15</v>
          </cell>
          <cell r="D13">
            <v>20</v>
          </cell>
          <cell r="E13">
            <v>25</v>
          </cell>
          <cell r="F13">
            <v>15</v>
          </cell>
          <cell r="M13">
            <v>100</v>
          </cell>
          <cell r="N13">
            <v>100</v>
          </cell>
          <cell r="O13">
            <v>100</v>
          </cell>
          <cell r="P13">
            <v>100</v>
          </cell>
          <cell r="W13">
            <v>55</v>
          </cell>
          <cell r="X13">
            <v>45</v>
          </cell>
          <cell r="Y13">
            <v>35</v>
          </cell>
          <cell r="Z13">
            <v>25</v>
          </cell>
        </row>
        <row r="14">
          <cell r="A14" t="str">
            <v>SI1619_20260610</v>
          </cell>
          <cell r="B14">
            <v>46183</v>
          </cell>
          <cell r="C14">
            <v>5</v>
          </cell>
          <cell r="D14">
            <v>2</v>
          </cell>
          <cell r="E14">
            <v>5</v>
          </cell>
          <cell r="F14">
            <v>10</v>
          </cell>
          <cell r="M14">
            <v>160</v>
          </cell>
          <cell r="N14">
            <v>160</v>
          </cell>
          <cell r="O14">
            <v>160</v>
          </cell>
          <cell r="P14">
            <v>160</v>
          </cell>
          <cell r="W14">
            <v>66</v>
          </cell>
          <cell r="X14">
            <v>55</v>
          </cell>
          <cell r="Y14">
            <v>30</v>
          </cell>
          <cell r="Z14">
            <v>18</v>
          </cell>
        </row>
        <row r="15">
          <cell r="A15" t="str">
            <v>SI1618_20260610</v>
          </cell>
          <cell r="B15">
            <v>46183</v>
          </cell>
          <cell r="C15">
            <v>12</v>
          </cell>
          <cell r="D15">
            <v>20</v>
          </cell>
          <cell r="E15">
            <v>20</v>
          </cell>
          <cell r="F15">
            <v>15</v>
          </cell>
          <cell r="M15">
            <v>80</v>
          </cell>
          <cell r="N15">
            <v>80</v>
          </cell>
          <cell r="O15">
            <v>80</v>
          </cell>
          <cell r="P15">
            <v>80</v>
          </cell>
          <cell r="W15">
            <v>50</v>
          </cell>
          <cell r="X15">
            <v>40</v>
          </cell>
          <cell r="Y15">
            <v>35</v>
          </cell>
          <cell r="Z15">
            <v>33</v>
          </cell>
        </row>
        <row r="16">
          <cell r="A16" t="str">
            <v>SI1619_20260608</v>
          </cell>
          <cell r="B16">
            <v>46181</v>
          </cell>
          <cell r="C16">
            <v>5</v>
          </cell>
          <cell r="D16">
            <v>6</v>
          </cell>
          <cell r="E16">
            <v>6</v>
          </cell>
          <cell r="F16">
            <v>6</v>
          </cell>
          <cell r="M16">
            <v>160</v>
          </cell>
          <cell r="N16">
            <v>160</v>
          </cell>
          <cell r="O16">
            <v>160</v>
          </cell>
          <cell r="P16">
            <v>160</v>
          </cell>
          <cell r="W16">
            <v>70</v>
          </cell>
          <cell r="X16">
            <v>50</v>
          </cell>
          <cell r="Y16">
            <v>25</v>
          </cell>
        </row>
        <row r="17">
          <cell r="A17" t="str">
            <v>SI1620_20260609</v>
          </cell>
          <cell r="B17">
            <v>46182</v>
          </cell>
          <cell r="C17">
            <v>23</v>
          </cell>
          <cell r="D17">
            <v>30</v>
          </cell>
          <cell r="E17">
            <v>30</v>
          </cell>
          <cell r="F17">
            <v>25</v>
          </cell>
          <cell r="M17">
            <v>100</v>
          </cell>
          <cell r="N17">
            <v>100</v>
          </cell>
          <cell r="O17">
            <v>100</v>
          </cell>
          <cell r="P17">
            <v>100</v>
          </cell>
          <cell r="W17">
            <v>70</v>
          </cell>
          <cell r="X17">
            <v>50</v>
          </cell>
          <cell r="Y17">
            <v>45</v>
          </cell>
          <cell r="Z17">
            <v>40</v>
          </cell>
        </row>
        <row r="18">
          <cell r="A18" t="str">
            <v>SI1621_20260609</v>
          </cell>
          <cell r="B18">
            <v>46182</v>
          </cell>
          <cell r="C18">
            <v>15</v>
          </cell>
          <cell r="D18">
            <v>25</v>
          </cell>
          <cell r="E18">
            <v>25</v>
          </cell>
          <cell r="F18">
            <v>20</v>
          </cell>
          <cell r="M18">
            <v>90</v>
          </cell>
          <cell r="N18">
            <v>90</v>
          </cell>
          <cell r="O18">
            <v>90</v>
          </cell>
          <cell r="P18">
            <v>90</v>
          </cell>
          <cell r="W18">
            <v>55</v>
          </cell>
          <cell r="X18">
            <v>50</v>
          </cell>
          <cell r="Y18">
            <v>40</v>
          </cell>
          <cell r="Z18">
            <v>30</v>
          </cell>
        </row>
        <row r="19">
          <cell r="A19" t="str">
            <v>SI1617_20260609</v>
          </cell>
          <cell r="B19">
            <v>46182</v>
          </cell>
          <cell r="C19">
            <v>15</v>
          </cell>
          <cell r="D19">
            <v>20</v>
          </cell>
          <cell r="E19">
            <v>20</v>
          </cell>
          <cell r="F19">
            <v>15</v>
          </cell>
          <cell r="M19">
            <v>90</v>
          </cell>
          <cell r="N19">
            <v>90</v>
          </cell>
          <cell r="O19">
            <v>90</v>
          </cell>
          <cell r="P19">
            <v>90</v>
          </cell>
          <cell r="W19">
            <v>55</v>
          </cell>
          <cell r="X19">
            <v>50</v>
          </cell>
          <cell r="Y19">
            <v>45</v>
          </cell>
          <cell r="Z19">
            <v>30</v>
          </cell>
        </row>
        <row r="20">
          <cell r="A20" t="str">
            <v>SI1674_20260414</v>
          </cell>
          <cell r="B20">
            <v>46126</v>
          </cell>
          <cell r="C20">
            <v>10</v>
          </cell>
          <cell r="D20">
            <v>20</v>
          </cell>
          <cell r="E20">
            <v>25</v>
          </cell>
          <cell r="F20">
            <v>15</v>
          </cell>
          <cell r="M20">
            <v>60</v>
          </cell>
          <cell r="N20">
            <v>60</v>
          </cell>
          <cell r="O20">
            <v>60</v>
          </cell>
          <cell r="P20">
            <v>60</v>
          </cell>
          <cell r="W20">
            <v>28</v>
          </cell>
          <cell r="X20">
            <v>26</v>
          </cell>
          <cell r="Y20">
            <v>25</v>
          </cell>
          <cell r="Z20">
            <v>24</v>
          </cell>
        </row>
        <row r="21">
          <cell r="A21" t="str">
            <v>SI1675_20260414</v>
          </cell>
          <cell r="B21">
            <v>46126</v>
          </cell>
          <cell r="C21">
            <v>10</v>
          </cell>
          <cell r="D21">
            <v>15</v>
          </cell>
          <cell r="E21">
            <v>20</v>
          </cell>
          <cell r="F21">
            <v>15</v>
          </cell>
          <cell r="M21">
            <v>80</v>
          </cell>
          <cell r="N21">
            <v>80</v>
          </cell>
          <cell r="O21">
            <v>80</v>
          </cell>
          <cell r="P21">
            <v>80</v>
          </cell>
          <cell r="W21">
            <v>28</v>
          </cell>
          <cell r="X21">
            <v>26</v>
          </cell>
          <cell r="Y21">
            <v>24</v>
          </cell>
          <cell r="Z21">
            <v>22</v>
          </cell>
        </row>
        <row r="22">
          <cell r="A22" t="str">
            <v>SI1676_20260414</v>
          </cell>
          <cell r="B22">
            <v>46126</v>
          </cell>
          <cell r="C22">
            <v>10</v>
          </cell>
          <cell r="D22">
            <v>20</v>
          </cell>
          <cell r="E22">
            <v>25</v>
          </cell>
          <cell r="F22">
            <v>15</v>
          </cell>
          <cell r="M22">
            <v>80</v>
          </cell>
          <cell r="N22">
            <v>80</v>
          </cell>
          <cell r="O22">
            <v>80</v>
          </cell>
          <cell r="P22">
            <v>80</v>
          </cell>
          <cell r="W22">
            <v>28</v>
          </cell>
          <cell r="X22">
            <v>26</v>
          </cell>
          <cell r="Y22">
            <v>24</v>
          </cell>
          <cell r="Z22">
            <v>22</v>
          </cell>
        </row>
        <row r="23">
          <cell r="A23" t="str">
            <v>SI1673_20260413</v>
          </cell>
          <cell r="B23">
            <v>46125</v>
          </cell>
          <cell r="C23">
            <v>15</v>
          </cell>
          <cell r="D23">
            <v>25</v>
          </cell>
          <cell r="E23">
            <v>30</v>
          </cell>
          <cell r="F23">
            <v>15</v>
          </cell>
          <cell r="M23">
            <v>100</v>
          </cell>
          <cell r="N23">
            <v>100</v>
          </cell>
          <cell r="O23">
            <v>100</v>
          </cell>
          <cell r="P23">
            <v>100</v>
          </cell>
          <cell r="W23">
            <v>28</v>
          </cell>
          <cell r="X23">
            <v>26</v>
          </cell>
          <cell r="Y23">
            <v>24</v>
          </cell>
          <cell r="Z23">
            <v>23</v>
          </cell>
        </row>
        <row r="24">
          <cell r="A24" t="str">
            <v>SI1678_20260413</v>
          </cell>
          <cell r="B24">
            <v>46125</v>
          </cell>
          <cell r="C24">
            <v>10</v>
          </cell>
          <cell r="D24">
            <v>20</v>
          </cell>
          <cell r="E24">
            <v>25</v>
          </cell>
          <cell r="F24">
            <v>15</v>
          </cell>
          <cell r="M24">
            <v>100</v>
          </cell>
          <cell r="N24">
            <v>100</v>
          </cell>
          <cell r="O24">
            <v>100</v>
          </cell>
          <cell r="P24">
            <v>100</v>
          </cell>
          <cell r="W24">
            <v>55</v>
          </cell>
          <cell r="X24">
            <v>50</v>
          </cell>
          <cell r="Y24">
            <v>42</v>
          </cell>
          <cell r="Z24">
            <v>38</v>
          </cell>
        </row>
        <row r="25">
          <cell r="A25" t="str">
            <v>SI1679_20260413</v>
          </cell>
          <cell r="B25">
            <v>46125</v>
          </cell>
          <cell r="C25">
            <v>15</v>
          </cell>
          <cell r="D25">
            <v>20</v>
          </cell>
          <cell r="E25">
            <v>25</v>
          </cell>
          <cell r="F25">
            <v>15</v>
          </cell>
          <cell r="M25">
            <v>100</v>
          </cell>
          <cell r="N25">
            <v>100</v>
          </cell>
          <cell r="O25">
            <v>100</v>
          </cell>
          <cell r="P25">
            <v>100</v>
          </cell>
          <cell r="W25">
            <v>55</v>
          </cell>
          <cell r="X25">
            <v>50</v>
          </cell>
          <cell r="Y25">
            <v>40</v>
          </cell>
          <cell r="Z25">
            <v>35</v>
          </cell>
        </row>
        <row r="26">
          <cell r="A26" t="str">
            <v>SI1676_20260403</v>
          </cell>
          <cell r="B26">
            <v>46115</v>
          </cell>
          <cell r="C26">
            <v>10</v>
          </cell>
          <cell r="D26">
            <v>20</v>
          </cell>
          <cell r="E26">
            <v>25</v>
          </cell>
          <cell r="F26">
            <v>15</v>
          </cell>
          <cell r="M26">
            <v>80</v>
          </cell>
          <cell r="N26">
            <v>80</v>
          </cell>
          <cell r="O26">
            <v>80</v>
          </cell>
          <cell r="P26">
            <v>80</v>
          </cell>
          <cell r="W26">
            <v>28</v>
          </cell>
          <cell r="X26">
            <v>25</v>
          </cell>
          <cell r="Y26">
            <v>23</v>
          </cell>
          <cell r="Z26">
            <v>22</v>
          </cell>
        </row>
        <row r="27">
          <cell r="A27" t="str">
            <v>SI1673_20260401</v>
          </cell>
          <cell r="B27">
            <v>46113</v>
          </cell>
          <cell r="C27">
            <v>15</v>
          </cell>
          <cell r="D27">
            <v>20</v>
          </cell>
          <cell r="E27">
            <v>25</v>
          </cell>
          <cell r="F27">
            <v>15</v>
          </cell>
          <cell r="M27">
            <v>28</v>
          </cell>
          <cell r="N27">
            <v>25</v>
          </cell>
          <cell r="O27">
            <v>24</v>
          </cell>
          <cell r="P27">
            <v>22</v>
          </cell>
          <cell r="W27">
            <v>100</v>
          </cell>
          <cell r="X27">
            <v>100</v>
          </cell>
          <cell r="Y27">
            <v>100</v>
          </cell>
          <cell r="Z27">
            <v>100</v>
          </cell>
        </row>
        <row r="28">
          <cell r="A28" t="str">
            <v>SI1673_20260330</v>
          </cell>
          <cell r="B28">
            <v>46111</v>
          </cell>
          <cell r="C28">
            <v>10</v>
          </cell>
          <cell r="D28">
            <v>15</v>
          </cell>
          <cell r="E28">
            <v>20</v>
          </cell>
          <cell r="F28">
            <v>15</v>
          </cell>
          <cell r="M28">
            <v>100</v>
          </cell>
          <cell r="N28">
            <v>100</v>
          </cell>
          <cell r="O28">
            <v>100</v>
          </cell>
          <cell r="P28">
            <v>100</v>
          </cell>
          <cell r="W28">
            <v>28</v>
          </cell>
          <cell r="X28">
            <v>25</v>
          </cell>
          <cell r="Y28">
            <v>23</v>
          </cell>
          <cell r="Z28">
            <v>22</v>
          </cell>
        </row>
        <row r="29">
          <cell r="A29" t="str">
            <v>SI1672_20260330</v>
          </cell>
          <cell r="B29">
            <v>46111</v>
          </cell>
          <cell r="C29">
            <v>10</v>
          </cell>
          <cell r="D29">
            <v>15</v>
          </cell>
          <cell r="E29">
            <v>20</v>
          </cell>
          <cell r="F29">
            <v>15</v>
          </cell>
          <cell r="M29">
            <v>140</v>
          </cell>
          <cell r="N29">
            <v>140</v>
          </cell>
          <cell r="O29">
            <v>140</v>
          </cell>
          <cell r="P29">
            <v>140</v>
          </cell>
          <cell r="W29">
            <v>28</v>
          </cell>
          <cell r="X29">
            <v>25</v>
          </cell>
          <cell r="Y29">
            <v>20</v>
          </cell>
          <cell r="Z29">
            <v>17</v>
          </cell>
        </row>
        <row r="30">
          <cell r="A30" t="str">
            <v>SI1668_20260327</v>
          </cell>
          <cell r="B30">
            <v>46108</v>
          </cell>
          <cell r="C30">
            <v>15</v>
          </cell>
          <cell r="D30">
            <v>30</v>
          </cell>
          <cell r="E30">
            <v>35</v>
          </cell>
          <cell r="F30">
            <v>15</v>
          </cell>
          <cell r="M30">
            <v>70</v>
          </cell>
          <cell r="N30">
            <v>70</v>
          </cell>
          <cell r="O30">
            <v>70</v>
          </cell>
          <cell r="P30">
            <v>70</v>
          </cell>
          <cell r="W30">
            <v>60</v>
          </cell>
          <cell r="X30">
            <v>40</v>
          </cell>
          <cell r="Y30">
            <v>30</v>
          </cell>
          <cell r="Z30">
            <v>22</v>
          </cell>
        </row>
        <row r="31">
          <cell r="A31" t="str">
            <v>SI1621_20260327</v>
          </cell>
          <cell r="B31">
            <v>46108</v>
          </cell>
          <cell r="C31">
            <v>15</v>
          </cell>
          <cell r="D31">
            <v>20</v>
          </cell>
          <cell r="E31">
            <v>25</v>
          </cell>
          <cell r="F31">
            <v>20</v>
          </cell>
          <cell r="M31">
            <v>110</v>
          </cell>
          <cell r="N31">
            <v>110</v>
          </cell>
          <cell r="O31">
            <v>110</v>
          </cell>
          <cell r="P31">
            <v>110</v>
          </cell>
          <cell r="W31">
            <v>55</v>
          </cell>
          <cell r="X31">
            <v>45</v>
          </cell>
          <cell r="Y31">
            <v>40</v>
          </cell>
          <cell r="Z31" t="str">
            <v>보압 전환 위치 : 37</v>
          </cell>
        </row>
        <row r="32">
          <cell r="A32" t="str">
            <v>SI1617_20260326</v>
          </cell>
          <cell r="B32">
            <v>46107</v>
          </cell>
          <cell r="C32">
            <v>15</v>
          </cell>
          <cell r="D32">
            <v>20</v>
          </cell>
          <cell r="E32">
            <v>25</v>
          </cell>
          <cell r="F32">
            <v>20</v>
          </cell>
          <cell r="M32">
            <v>120</v>
          </cell>
          <cell r="N32">
            <v>120</v>
          </cell>
          <cell r="O32">
            <v>120</v>
          </cell>
          <cell r="P32">
            <v>120</v>
          </cell>
          <cell r="W32">
            <v>55</v>
          </cell>
          <cell r="X32">
            <v>50</v>
          </cell>
          <cell r="Y32">
            <v>45</v>
          </cell>
          <cell r="Z32" t="str">
            <v>보압전환위치 : 40</v>
          </cell>
        </row>
        <row r="33">
          <cell r="A33" t="str">
            <v>SI1675_20260326</v>
          </cell>
          <cell r="B33">
            <v>46107</v>
          </cell>
          <cell r="C33">
            <v>10</v>
          </cell>
          <cell r="D33">
            <v>15</v>
          </cell>
          <cell r="E33">
            <v>20</v>
          </cell>
          <cell r="F33">
            <v>15</v>
          </cell>
          <cell r="M33">
            <v>80</v>
          </cell>
          <cell r="N33">
            <v>80</v>
          </cell>
          <cell r="O33">
            <v>80</v>
          </cell>
          <cell r="P33">
            <v>80</v>
          </cell>
          <cell r="W33">
            <v>28</v>
          </cell>
          <cell r="X33">
            <v>26</v>
          </cell>
          <cell r="Y33">
            <v>24</v>
          </cell>
          <cell r="Z33">
            <v>22</v>
          </cell>
        </row>
        <row r="34">
          <cell r="A34" t="str">
            <v>SI1674_20260326</v>
          </cell>
          <cell r="B34">
            <v>46107</v>
          </cell>
          <cell r="C34">
            <v>10</v>
          </cell>
          <cell r="D34">
            <v>15</v>
          </cell>
          <cell r="E34">
            <v>20</v>
          </cell>
          <cell r="F34">
            <v>15</v>
          </cell>
          <cell r="M34">
            <v>50</v>
          </cell>
          <cell r="N34">
            <v>50</v>
          </cell>
          <cell r="O34">
            <v>50</v>
          </cell>
          <cell r="P34">
            <v>50</v>
          </cell>
          <cell r="W34">
            <v>28</v>
          </cell>
          <cell r="X34">
            <v>27</v>
          </cell>
          <cell r="Y34">
            <v>26</v>
          </cell>
          <cell r="Z34">
            <v>24</v>
          </cell>
        </row>
        <row r="35">
          <cell r="A35" t="str">
            <v>SI1620_20260326</v>
          </cell>
          <cell r="B35">
            <v>46107</v>
          </cell>
          <cell r="C35">
            <v>15</v>
          </cell>
          <cell r="D35">
            <v>20</v>
          </cell>
          <cell r="E35">
            <v>25</v>
          </cell>
          <cell r="F35">
            <v>20</v>
          </cell>
          <cell r="M35">
            <v>110</v>
          </cell>
          <cell r="N35">
            <v>110</v>
          </cell>
          <cell r="O35">
            <v>110</v>
          </cell>
          <cell r="P35">
            <v>110</v>
          </cell>
          <cell r="W35">
            <v>50</v>
          </cell>
          <cell r="X35">
            <v>40</v>
          </cell>
          <cell r="Y35">
            <v>35</v>
          </cell>
        </row>
        <row r="36">
          <cell r="A36" t="str">
            <v>SI1679_20260325</v>
          </cell>
          <cell r="B36">
            <v>46106</v>
          </cell>
          <cell r="C36">
            <v>15</v>
          </cell>
          <cell r="D36">
            <v>40</v>
          </cell>
          <cell r="E36">
            <v>35</v>
          </cell>
          <cell r="F36">
            <v>25</v>
          </cell>
          <cell r="M36">
            <v>100</v>
          </cell>
          <cell r="N36">
            <v>100</v>
          </cell>
          <cell r="O36">
            <v>100</v>
          </cell>
          <cell r="P36">
            <v>100</v>
          </cell>
          <cell r="W36">
            <v>35</v>
          </cell>
          <cell r="X36">
            <v>25</v>
          </cell>
          <cell r="Y36">
            <v>20</v>
          </cell>
          <cell r="Z36">
            <v>15</v>
          </cell>
        </row>
        <row r="37">
          <cell r="A37" t="str">
            <v>SI1672_20260320</v>
          </cell>
          <cell r="B37">
            <v>46101</v>
          </cell>
          <cell r="C37">
            <v>15</v>
          </cell>
          <cell r="D37">
            <v>30</v>
          </cell>
          <cell r="E37">
            <v>35</v>
          </cell>
          <cell r="F37">
            <v>15</v>
          </cell>
          <cell r="M37">
            <v>140</v>
          </cell>
          <cell r="N37">
            <v>140</v>
          </cell>
          <cell r="O37">
            <v>140</v>
          </cell>
          <cell r="P37">
            <v>140</v>
          </cell>
          <cell r="W37">
            <v>28</v>
          </cell>
          <cell r="X37">
            <v>26</v>
          </cell>
          <cell r="Y37">
            <v>22</v>
          </cell>
          <cell r="Z37">
            <v>20</v>
          </cell>
        </row>
        <row r="38">
          <cell r="A38" t="str">
            <v>SI1673_20260320</v>
          </cell>
          <cell r="B38">
            <v>46101</v>
          </cell>
          <cell r="C38">
            <v>15</v>
          </cell>
          <cell r="D38">
            <v>20</v>
          </cell>
          <cell r="E38">
            <v>15</v>
          </cell>
          <cell r="F38">
            <v>10</v>
          </cell>
          <cell r="M38">
            <v>120</v>
          </cell>
          <cell r="N38">
            <v>120</v>
          </cell>
          <cell r="O38">
            <v>120</v>
          </cell>
          <cell r="P38">
            <v>120</v>
          </cell>
          <cell r="W38">
            <v>28</v>
          </cell>
          <cell r="X38">
            <v>26</v>
          </cell>
          <cell r="Y38">
            <v>24</v>
          </cell>
          <cell r="Z38">
            <v>22</v>
          </cell>
        </row>
        <row r="39">
          <cell r="A39" t="str">
            <v>SI1674_20260318</v>
          </cell>
          <cell r="B39">
            <v>46099</v>
          </cell>
          <cell r="C39">
            <v>10</v>
          </cell>
          <cell r="D39">
            <v>15</v>
          </cell>
          <cell r="E39">
            <v>20</v>
          </cell>
          <cell r="F39">
            <v>10</v>
          </cell>
          <cell r="M39">
            <v>70</v>
          </cell>
          <cell r="N39">
            <v>70</v>
          </cell>
          <cell r="O39">
            <v>70</v>
          </cell>
          <cell r="P39">
            <v>70</v>
          </cell>
          <cell r="W39">
            <v>28</v>
          </cell>
          <cell r="X39">
            <v>26</v>
          </cell>
          <cell r="Y39">
            <v>24</v>
          </cell>
          <cell r="Z39">
            <v>22</v>
          </cell>
        </row>
        <row r="40">
          <cell r="A40" t="str">
            <v>SI1660_20260317</v>
          </cell>
          <cell r="B40">
            <v>46098</v>
          </cell>
          <cell r="C40">
            <v>10</v>
          </cell>
          <cell r="D40">
            <v>15</v>
          </cell>
          <cell r="E40">
            <v>20</v>
          </cell>
          <cell r="F40">
            <v>15</v>
          </cell>
          <cell r="M40">
            <v>70</v>
          </cell>
          <cell r="N40">
            <v>70</v>
          </cell>
          <cell r="O40">
            <v>70</v>
          </cell>
          <cell r="P40">
            <v>70</v>
          </cell>
          <cell r="W40">
            <v>55</v>
          </cell>
          <cell r="X40">
            <v>45</v>
          </cell>
          <cell r="Y40">
            <v>35</v>
          </cell>
          <cell r="Z40">
            <v>32</v>
          </cell>
        </row>
        <row r="41">
          <cell r="A41" t="str">
            <v>SI1668_20260317</v>
          </cell>
          <cell r="B41">
            <v>46098</v>
          </cell>
          <cell r="C41">
            <v>15</v>
          </cell>
          <cell r="D41">
            <v>30</v>
          </cell>
          <cell r="E41">
            <v>35</v>
          </cell>
          <cell r="F41">
            <v>15</v>
          </cell>
          <cell r="M41">
            <v>70</v>
          </cell>
          <cell r="N41">
            <v>70</v>
          </cell>
          <cell r="O41">
            <v>70</v>
          </cell>
          <cell r="P41">
            <v>70</v>
          </cell>
          <cell r="W41">
            <v>60</v>
          </cell>
          <cell r="X41">
            <v>40</v>
          </cell>
          <cell r="Y41">
            <v>30</v>
          </cell>
          <cell r="Z41">
            <v>22</v>
          </cell>
        </row>
        <row r="42">
          <cell r="A42" t="str">
            <v>SI1671_20260311</v>
          </cell>
          <cell r="B42">
            <v>46092</v>
          </cell>
          <cell r="C42">
            <v>10</v>
          </cell>
          <cell r="D42">
            <v>30</v>
          </cell>
          <cell r="E42">
            <v>40</v>
          </cell>
          <cell r="F42">
            <v>25</v>
          </cell>
          <cell r="G42">
            <v>20</v>
          </cell>
          <cell r="M42">
            <v>50</v>
          </cell>
          <cell r="N42">
            <v>55</v>
          </cell>
          <cell r="O42">
            <v>55</v>
          </cell>
          <cell r="P42">
            <v>55</v>
          </cell>
          <cell r="W42">
            <v>140</v>
          </cell>
          <cell r="X42">
            <v>100</v>
          </cell>
          <cell r="Y42">
            <v>65</v>
          </cell>
          <cell r="Z42">
            <v>45</v>
          </cell>
          <cell r="AA42">
            <v>15</v>
          </cell>
        </row>
        <row r="43">
          <cell r="A43" t="str">
            <v>SI1668_20260311</v>
          </cell>
          <cell r="B43">
            <v>46092</v>
          </cell>
          <cell r="C43">
            <v>10</v>
          </cell>
          <cell r="D43">
            <v>30</v>
          </cell>
          <cell r="E43">
            <v>35</v>
          </cell>
          <cell r="F43">
            <v>15</v>
          </cell>
          <cell r="M43">
            <v>70</v>
          </cell>
          <cell r="N43">
            <v>70</v>
          </cell>
          <cell r="O43">
            <v>70</v>
          </cell>
          <cell r="P43">
            <v>70</v>
          </cell>
          <cell r="W43">
            <v>70</v>
          </cell>
          <cell r="X43">
            <v>50</v>
          </cell>
          <cell r="Y43">
            <v>30</v>
          </cell>
          <cell r="Z43">
            <v>20</v>
          </cell>
        </row>
        <row r="44">
          <cell r="A44" t="str">
            <v>SI1632_20260310</v>
          </cell>
          <cell r="B44">
            <v>46091</v>
          </cell>
          <cell r="C44">
            <v>12</v>
          </cell>
          <cell r="D44">
            <v>15</v>
          </cell>
          <cell r="E44">
            <v>15</v>
          </cell>
          <cell r="F44">
            <v>15</v>
          </cell>
          <cell r="M44">
            <v>110</v>
          </cell>
          <cell r="N44">
            <v>110</v>
          </cell>
          <cell r="O44">
            <v>110</v>
          </cell>
          <cell r="P44">
            <v>110</v>
          </cell>
          <cell r="W44">
            <v>50</v>
          </cell>
          <cell r="X44">
            <v>40</v>
          </cell>
          <cell r="Y44">
            <v>25</v>
          </cell>
        </row>
        <row r="45">
          <cell r="A45" t="str">
            <v>SI1671_20260306</v>
          </cell>
          <cell r="B45">
            <v>46087</v>
          </cell>
          <cell r="C45">
            <v>10</v>
          </cell>
          <cell r="D45">
            <v>70</v>
          </cell>
          <cell r="E45">
            <v>75</v>
          </cell>
          <cell r="F45">
            <v>10</v>
          </cell>
          <cell r="M45">
            <v>100</v>
          </cell>
          <cell r="N45">
            <v>160</v>
          </cell>
          <cell r="O45">
            <v>160</v>
          </cell>
          <cell r="P45">
            <v>100</v>
          </cell>
          <cell r="W45">
            <v>120</v>
          </cell>
          <cell r="X45">
            <v>40</v>
          </cell>
          <cell r="Y45">
            <v>30</v>
          </cell>
          <cell r="Z45">
            <v>20</v>
          </cell>
        </row>
        <row r="46">
          <cell r="A46" t="str">
            <v>SI1668_20260306</v>
          </cell>
          <cell r="B46">
            <v>46087</v>
          </cell>
          <cell r="C46">
            <v>15</v>
          </cell>
          <cell r="D46">
            <v>30</v>
          </cell>
          <cell r="E46">
            <v>35</v>
          </cell>
          <cell r="F46">
            <v>15</v>
          </cell>
          <cell r="M46">
            <v>70</v>
          </cell>
          <cell r="N46">
            <v>70</v>
          </cell>
          <cell r="O46">
            <v>70</v>
          </cell>
          <cell r="P46">
            <v>70</v>
          </cell>
          <cell r="W46">
            <v>60</v>
          </cell>
          <cell r="X46">
            <v>40</v>
          </cell>
          <cell r="Y46">
            <v>30</v>
          </cell>
          <cell r="Z46">
            <v>25</v>
          </cell>
        </row>
        <row r="47">
          <cell r="A47" t="str">
            <v>SI1674_20260305</v>
          </cell>
          <cell r="B47">
            <v>46086</v>
          </cell>
          <cell r="C47">
            <v>10</v>
          </cell>
          <cell r="D47">
            <v>25</v>
          </cell>
          <cell r="E47">
            <v>30</v>
          </cell>
          <cell r="F47">
            <v>15</v>
          </cell>
          <cell r="M47">
            <v>80</v>
          </cell>
          <cell r="N47">
            <v>80</v>
          </cell>
          <cell r="O47">
            <v>80</v>
          </cell>
          <cell r="P47">
            <v>80</v>
          </cell>
          <cell r="W47">
            <v>28</v>
          </cell>
          <cell r="X47">
            <v>26</v>
          </cell>
          <cell r="Y47">
            <v>25</v>
          </cell>
          <cell r="Z47">
            <v>23</v>
          </cell>
        </row>
        <row r="48">
          <cell r="A48" t="str">
            <v>SI1675_20260305</v>
          </cell>
          <cell r="B48">
            <v>46086</v>
          </cell>
          <cell r="C48">
            <v>10</v>
          </cell>
          <cell r="D48">
            <v>15</v>
          </cell>
          <cell r="E48">
            <v>20</v>
          </cell>
          <cell r="F48">
            <v>15</v>
          </cell>
          <cell r="M48">
            <v>25</v>
          </cell>
          <cell r="N48">
            <v>22</v>
          </cell>
          <cell r="O48">
            <v>20</v>
          </cell>
          <cell r="P48">
            <v>18</v>
          </cell>
          <cell r="W48">
            <v>100</v>
          </cell>
          <cell r="X48">
            <v>100</v>
          </cell>
          <cell r="Y48">
            <v>100</v>
          </cell>
          <cell r="Z48">
            <v>100</v>
          </cell>
        </row>
        <row r="49">
          <cell r="A49" t="str">
            <v>SI1676_20260305</v>
          </cell>
          <cell r="B49">
            <v>46086</v>
          </cell>
          <cell r="C49">
            <v>10</v>
          </cell>
          <cell r="D49">
            <v>25</v>
          </cell>
          <cell r="E49">
            <v>30</v>
          </cell>
          <cell r="F49">
            <v>15</v>
          </cell>
          <cell r="M49">
            <v>80</v>
          </cell>
          <cell r="N49">
            <v>80</v>
          </cell>
          <cell r="O49">
            <v>80</v>
          </cell>
          <cell r="P49">
            <v>80</v>
          </cell>
          <cell r="W49">
            <v>28</v>
          </cell>
          <cell r="X49">
            <v>26</v>
          </cell>
          <cell r="Y49">
            <v>25</v>
          </cell>
          <cell r="Z49">
            <v>22</v>
          </cell>
        </row>
        <row r="50">
          <cell r="A50" t="str">
            <v>SI1679_20260304</v>
          </cell>
          <cell r="B50">
            <v>46085</v>
          </cell>
          <cell r="C50">
            <v>15</v>
          </cell>
          <cell r="D50">
            <v>40</v>
          </cell>
          <cell r="E50">
            <v>35</v>
          </cell>
          <cell r="F50">
            <v>25</v>
          </cell>
          <cell r="M50">
            <v>100</v>
          </cell>
          <cell r="N50">
            <v>100</v>
          </cell>
          <cell r="O50">
            <v>100</v>
          </cell>
          <cell r="P50">
            <v>100</v>
          </cell>
          <cell r="W50">
            <v>55</v>
          </cell>
          <cell r="X50">
            <v>45</v>
          </cell>
          <cell r="Y50">
            <v>40</v>
          </cell>
          <cell r="Z50">
            <v>37</v>
          </cell>
        </row>
        <row r="51">
          <cell r="A51" t="str">
            <v>SI1673_20260304</v>
          </cell>
          <cell r="B51">
            <v>46085</v>
          </cell>
          <cell r="C51">
            <v>15</v>
          </cell>
          <cell r="D51">
            <v>20</v>
          </cell>
          <cell r="E51">
            <v>25</v>
          </cell>
          <cell r="F51">
            <v>15</v>
          </cell>
          <cell r="M51">
            <v>28</v>
          </cell>
          <cell r="N51">
            <v>25</v>
          </cell>
          <cell r="O51">
            <v>24</v>
          </cell>
          <cell r="P51">
            <v>22</v>
          </cell>
          <cell r="W51">
            <v>100</v>
          </cell>
          <cell r="X51">
            <v>100</v>
          </cell>
          <cell r="Y51">
            <v>100</v>
          </cell>
          <cell r="Z51">
            <v>100</v>
          </cell>
        </row>
        <row r="52">
          <cell r="A52" t="str">
            <v>SI1672_20260304</v>
          </cell>
          <cell r="B52">
            <v>46085</v>
          </cell>
          <cell r="C52">
            <v>10</v>
          </cell>
          <cell r="D52">
            <v>15</v>
          </cell>
          <cell r="E52">
            <v>20</v>
          </cell>
          <cell r="F52">
            <v>15</v>
          </cell>
          <cell r="M52">
            <v>28</v>
          </cell>
          <cell r="N52">
            <v>25</v>
          </cell>
          <cell r="O52">
            <v>22</v>
          </cell>
          <cell r="P52">
            <v>20</v>
          </cell>
          <cell r="W52">
            <v>140</v>
          </cell>
          <cell r="X52">
            <v>140</v>
          </cell>
          <cell r="Y52">
            <v>140</v>
          </cell>
          <cell r="Z52">
            <v>140</v>
          </cell>
        </row>
        <row r="53">
          <cell r="A53" t="str">
            <v>SI1678_20260225</v>
          </cell>
          <cell r="B53">
            <v>46078</v>
          </cell>
          <cell r="C53">
            <v>10</v>
          </cell>
          <cell r="D53">
            <v>20</v>
          </cell>
          <cell r="E53">
            <v>25</v>
          </cell>
          <cell r="F53">
            <v>15</v>
          </cell>
          <cell r="M53">
            <v>70</v>
          </cell>
          <cell r="N53">
            <v>70</v>
          </cell>
          <cell r="O53">
            <v>70</v>
          </cell>
          <cell r="P53">
            <v>70</v>
          </cell>
          <cell r="W53">
            <v>55</v>
          </cell>
          <cell r="X53">
            <v>50</v>
          </cell>
          <cell r="Y53">
            <v>40</v>
          </cell>
          <cell r="Z53">
            <v>32</v>
          </cell>
        </row>
        <row r="54">
          <cell r="A54" t="str">
            <v>SI1616_20260225</v>
          </cell>
          <cell r="B54">
            <v>46078</v>
          </cell>
          <cell r="C54">
            <v>33</v>
          </cell>
          <cell r="D54">
            <v>35</v>
          </cell>
          <cell r="E54">
            <v>35</v>
          </cell>
          <cell r="F54">
            <v>35</v>
          </cell>
          <cell r="G54">
            <v>25</v>
          </cell>
          <cell r="M54">
            <v>145</v>
          </cell>
          <cell r="N54">
            <v>145</v>
          </cell>
          <cell r="O54">
            <v>145</v>
          </cell>
          <cell r="P54">
            <v>145</v>
          </cell>
          <cell r="Q54">
            <v>145</v>
          </cell>
          <cell r="W54">
            <v>25</v>
          </cell>
          <cell r="X54">
            <v>20</v>
          </cell>
          <cell r="Y54">
            <v>15</v>
          </cell>
          <cell r="Z54">
            <v>15</v>
          </cell>
        </row>
        <row r="55">
          <cell r="A55" t="str">
            <v>SI1633_20260220</v>
          </cell>
          <cell r="B55">
            <v>46073</v>
          </cell>
          <cell r="C55">
            <v>15</v>
          </cell>
          <cell r="D55">
            <v>25</v>
          </cell>
          <cell r="E55">
            <v>25</v>
          </cell>
          <cell r="F55">
            <v>20</v>
          </cell>
          <cell r="M55">
            <v>100</v>
          </cell>
          <cell r="N55">
            <v>100</v>
          </cell>
          <cell r="O55">
            <v>100</v>
          </cell>
          <cell r="P55">
            <v>100</v>
          </cell>
          <cell r="W55">
            <v>55</v>
          </cell>
          <cell r="X55">
            <v>45</v>
          </cell>
          <cell r="Y55">
            <v>35</v>
          </cell>
          <cell r="Z55">
            <v>23</v>
          </cell>
        </row>
        <row r="56">
          <cell r="A56" t="str">
            <v>SI1674_20260213</v>
          </cell>
          <cell r="B56">
            <v>46066</v>
          </cell>
          <cell r="C56">
            <v>10</v>
          </cell>
          <cell r="D56">
            <v>15</v>
          </cell>
          <cell r="E56">
            <v>20</v>
          </cell>
          <cell r="F56">
            <v>15</v>
          </cell>
          <cell r="M56">
            <v>70</v>
          </cell>
          <cell r="N56">
            <v>70</v>
          </cell>
          <cell r="O56">
            <v>70</v>
          </cell>
          <cell r="P56">
            <v>70</v>
          </cell>
          <cell r="W56">
            <v>18</v>
          </cell>
          <cell r="X56">
            <v>17</v>
          </cell>
          <cell r="Y56">
            <v>16</v>
          </cell>
          <cell r="Z56">
            <v>15</v>
          </cell>
        </row>
        <row r="57">
          <cell r="A57" t="str">
            <v>SI1640_20260213</v>
          </cell>
          <cell r="B57">
            <v>46066</v>
          </cell>
          <cell r="C57">
            <v>10</v>
          </cell>
          <cell r="D57">
            <v>25</v>
          </cell>
          <cell r="E57">
            <v>20</v>
          </cell>
          <cell r="F57">
            <v>12</v>
          </cell>
          <cell r="M57">
            <v>80</v>
          </cell>
          <cell r="N57">
            <v>80</v>
          </cell>
          <cell r="O57">
            <v>80</v>
          </cell>
          <cell r="P57">
            <v>80</v>
          </cell>
          <cell r="W57">
            <v>50</v>
          </cell>
          <cell r="X57">
            <v>40</v>
          </cell>
          <cell r="Y57">
            <v>35</v>
          </cell>
          <cell r="Z57">
            <v>30</v>
          </cell>
        </row>
        <row r="58">
          <cell r="A58" t="str">
            <v>SI1676_20260210</v>
          </cell>
          <cell r="B58">
            <v>46063</v>
          </cell>
          <cell r="C58">
            <v>15</v>
          </cell>
          <cell r="D58">
            <v>20</v>
          </cell>
          <cell r="E58">
            <v>25</v>
          </cell>
          <cell r="F58">
            <v>15</v>
          </cell>
          <cell r="M58">
            <v>70</v>
          </cell>
          <cell r="N58">
            <v>70</v>
          </cell>
          <cell r="O58">
            <v>70</v>
          </cell>
          <cell r="P58">
            <v>70</v>
          </cell>
          <cell r="W58">
            <v>18</v>
          </cell>
          <cell r="X58">
            <v>17</v>
          </cell>
          <cell r="Y58">
            <v>16</v>
          </cell>
          <cell r="Z58">
            <v>15</v>
          </cell>
        </row>
        <row r="59">
          <cell r="A59" t="str">
            <v>SI1668_20260210</v>
          </cell>
          <cell r="B59">
            <v>46063</v>
          </cell>
          <cell r="C59">
            <v>15</v>
          </cell>
          <cell r="D59">
            <v>30</v>
          </cell>
          <cell r="E59">
            <v>35</v>
          </cell>
          <cell r="F59">
            <v>15</v>
          </cell>
          <cell r="M59">
            <v>70</v>
          </cell>
          <cell r="N59">
            <v>70</v>
          </cell>
          <cell r="O59">
            <v>70</v>
          </cell>
          <cell r="P59">
            <v>70</v>
          </cell>
          <cell r="W59">
            <v>60</v>
          </cell>
          <cell r="X59">
            <v>40</v>
          </cell>
          <cell r="Y59">
            <v>30</v>
          </cell>
          <cell r="Z59">
            <v>25</v>
          </cell>
        </row>
        <row r="60">
          <cell r="A60" t="str">
            <v>SI1616_20260209</v>
          </cell>
          <cell r="B60">
            <v>46062</v>
          </cell>
          <cell r="C60">
            <v>35</v>
          </cell>
          <cell r="D60">
            <v>35</v>
          </cell>
          <cell r="E60">
            <v>35</v>
          </cell>
          <cell r="F60">
            <v>35</v>
          </cell>
          <cell r="G60">
            <v>25</v>
          </cell>
          <cell r="M60">
            <v>145</v>
          </cell>
          <cell r="N60">
            <v>145</v>
          </cell>
          <cell r="O60">
            <v>145</v>
          </cell>
          <cell r="P60">
            <v>145</v>
          </cell>
          <cell r="Q60">
            <v>145</v>
          </cell>
          <cell r="W60">
            <v>25</v>
          </cell>
          <cell r="X60">
            <v>20</v>
          </cell>
          <cell r="Y60">
            <v>18</v>
          </cell>
          <cell r="Z60">
            <v>15</v>
          </cell>
        </row>
        <row r="61">
          <cell r="A61" t="str">
            <v>SI1629_20260209</v>
          </cell>
          <cell r="B61">
            <v>46062</v>
          </cell>
          <cell r="C61">
            <v>15</v>
          </cell>
          <cell r="D61">
            <v>20</v>
          </cell>
          <cell r="E61">
            <v>25</v>
          </cell>
          <cell r="F61">
            <v>15</v>
          </cell>
          <cell r="M61">
            <v>130</v>
          </cell>
          <cell r="N61">
            <v>130</v>
          </cell>
          <cell r="O61">
            <v>130</v>
          </cell>
          <cell r="P61">
            <v>130</v>
          </cell>
          <cell r="W61">
            <v>50</v>
          </cell>
          <cell r="X61">
            <v>40</v>
          </cell>
          <cell r="Y61">
            <v>30</v>
          </cell>
        </row>
        <row r="62">
          <cell r="A62" t="str">
            <v>SI1634_20260209</v>
          </cell>
          <cell r="B62">
            <v>46062</v>
          </cell>
          <cell r="C62">
            <v>20</v>
          </cell>
          <cell r="D62">
            <v>30</v>
          </cell>
          <cell r="E62">
            <v>30</v>
          </cell>
          <cell r="F62">
            <v>25</v>
          </cell>
          <cell r="G62">
            <v>20</v>
          </cell>
          <cell r="M62">
            <v>120</v>
          </cell>
          <cell r="N62">
            <v>120</v>
          </cell>
          <cell r="O62">
            <v>120</v>
          </cell>
          <cell r="P62">
            <v>120</v>
          </cell>
          <cell r="Q62">
            <v>120</v>
          </cell>
          <cell r="W62">
            <v>20</v>
          </cell>
          <cell r="X62">
            <v>18</v>
          </cell>
          <cell r="Y62">
            <v>12</v>
          </cell>
          <cell r="Z62">
            <v>10</v>
          </cell>
        </row>
        <row r="63">
          <cell r="A63" t="str">
            <v>SI1667_20260206</v>
          </cell>
          <cell r="B63">
            <v>46059</v>
          </cell>
          <cell r="C63">
            <v>15</v>
          </cell>
          <cell r="D63" t="str">
            <v>28/25</v>
          </cell>
          <cell r="E63">
            <v>18</v>
          </cell>
          <cell r="F63">
            <v>10</v>
          </cell>
          <cell r="M63" t="str">
            <v>80/100</v>
          </cell>
          <cell r="N63" t="str">
            <v>80/100</v>
          </cell>
          <cell r="O63" t="str">
            <v>80/100</v>
          </cell>
          <cell r="P63" t="str">
            <v>80/100</v>
          </cell>
          <cell r="W63">
            <v>55</v>
          </cell>
          <cell r="X63">
            <v>40</v>
          </cell>
          <cell r="Y63">
            <v>35</v>
          </cell>
          <cell r="Z63">
            <v>30</v>
          </cell>
        </row>
        <row r="64">
          <cell r="A64" t="str">
            <v>SI1674_20260204</v>
          </cell>
          <cell r="B64">
            <v>46057</v>
          </cell>
          <cell r="C64">
            <v>10</v>
          </cell>
          <cell r="D64">
            <v>15</v>
          </cell>
          <cell r="E64">
            <v>20</v>
          </cell>
          <cell r="F64">
            <v>15</v>
          </cell>
          <cell r="M64">
            <v>70</v>
          </cell>
          <cell r="N64">
            <v>70</v>
          </cell>
          <cell r="O64">
            <v>70</v>
          </cell>
          <cell r="P64">
            <v>70</v>
          </cell>
          <cell r="W64">
            <v>18</v>
          </cell>
          <cell r="X64">
            <v>17</v>
          </cell>
          <cell r="Y64">
            <v>16</v>
          </cell>
          <cell r="Z64">
            <v>15</v>
          </cell>
        </row>
        <row r="65">
          <cell r="A65" t="str">
            <v>SI1675_20260203</v>
          </cell>
          <cell r="B65">
            <v>46056</v>
          </cell>
          <cell r="C65">
            <v>15</v>
          </cell>
          <cell r="D65">
            <v>20</v>
          </cell>
          <cell r="E65">
            <v>25</v>
          </cell>
          <cell r="F65">
            <v>15</v>
          </cell>
          <cell r="M65">
            <v>80</v>
          </cell>
          <cell r="N65">
            <v>80</v>
          </cell>
          <cell r="O65">
            <v>80</v>
          </cell>
          <cell r="P65">
            <v>80</v>
          </cell>
          <cell r="W65">
            <v>18</v>
          </cell>
          <cell r="X65">
            <v>17</v>
          </cell>
          <cell r="Y65">
            <v>16</v>
          </cell>
          <cell r="Z65">
            <v>15</v>
          </cell>
        </row>
        <row r="66">
          <cell r="A66" t="str">
            <v>SI1676_20260203</v>
          </cell>
          <cell r="B66">
            <v>46056</v>
          </cell>
          <cell r="C66">
            <v>15</v>
          </cell>
          <cell r="D66">
            <v>20</v>
          </cell>
          <cell r="E66">
            <v>25</v>
          </cell>
          <cell r="F66">
            <v>15</v>
          </cell>
          <cell r="M66">
            <v>70</v>
          </cell>
          <cell r="N66">
            <v>70</v>
          </cell>
          <cell r="O66">
            <v>70</v>
          </cell>
          <cell r="P66">
            <v>70</v>
          </cell>
          <cell r="W66">
            <v>18</v>
          </cell>
          <cell r="X66">
            <v>17</v>
          </cell>
          <cell r="Y66">
            <v>16</v>
          </cell>
          <cell r="Z66">
            <v>15</v>
          </cell>
        </row>
        <row r="67">
          <cell r="A67" t="str">
            <v>SI1673_20260202</v>
          </cell>
          <cell r="B67">
            <v>46055</v>
          </cell>
          <cell r="C67">
            <v>10</v>
          </cell>
          <cell r="D67">
            <v>15</v>
          </cell>
          <cell r="E67">
            <v>20</v>
          </cell>
          <cell r="F67">
            <v>15</v>
          </cell>
          <cell r="M67">
            <v>120</v>
          </cell>
          <cell r="N67">
            <v>120</v>
          </cell>
          <cell r="O67">
            <v>120</v>
          </cell>
          <cell r="P67">
            <v>120</v>
          </cell>
          <cell r="W67">
            <v>28</v>
          </cell>
          <cell r="X67">
            <v>26</v>
          </cell>
          <cell r="Y67">
            <v>24</v>
          </cell>
          <cell r="Z67">
            <v>23</v>
          </cell>
        </row>
        <row r="68">
          <cell r="A68" t="str">
            <v>SI1672_20260202</v>
          </cell>
          <cell r="B68">
            <v>46055</v>
          </cell>
          <cell r="C68">
            <v>10</v>
          </cell>
          <cell r="D68">
            <v>15</v>
          </cell>
          <cell r="E68">
            <v>20</v>
          </cell>
          <cell r="F68">
            <v>15</v>
          </cell>
          <cell r="M68">
            <v>120</v>
          </cell>
          <cell r="N68">
            <v>120</v>
          </cell>
          <cell r="O68">
            <v>120</v>
          </cell>
          <cell r="P68">
            <v>120</v>
          </cell>
          <cell r="W68">
            <v>28</v>
          </cell>
          <cell r="X68">
            <v>25</v>
          </cell>
          <cell r="Y68">
            <v>22</v>
          </cell>
          <cell r="Z68">
            <v>20</v>
          </cell>
        </row>
        <row r="69">
          <cell r="A69" t="str">
            <v>SI1675_20260130</v>
          </cell>
          <cell r="B69">
            <v>46052</v>
          </cell>
          <cell r="C69">
            <v>15</v>
          </cell>
          <cell r="D69">
            <v>20</v>
          </cell>
          <cell r="E69">
            <v>25</v>
          </cell>
          <cell r="F69">
            <v>15</v>
          </cell>
          <cell r="M69">
            <v>80</v>
          </cell>
          <cell r="N69">
            <v>80</v>
          </cell>
          <cell r="O69">
            <v>80</v>
          </cell>
          <cell r="P69">
            <v>80</v>
          </cell>
          <cell r="W69">
            <v>18</v>
          </cell>
          <cell r="X69">
            <v>17</v>
          </cell>
          <cell r="Y69">
            <v>16</v>
          </cell>
          <cell r="Z69">
            <v>15</v>
          </cell>
        </row>
        <row r="70">
          <cell r="A70" t="str">
            <v>SI1676_20260130</v>
          </cell>
          <cell r="B70">
            <v>46052</v>
          </cell>
          <cell r="C70">
            <v>15</v>
          </cell>
          <cell r="D70">
            <v>20</v>
          </cell>
          <cell r="E70">
            <v>25</v>
          </cell>
          <cell r="F70">
            <v>15</v>
          </cell>
          <cell r="M70">
            <v>70</v>
          </cell>
          <cell r="N70">
            <v>70</v>
          </cell>
          <cell r="O70">
            <v>70</v>
          </cell>
          <cell r="P70">
            <v>70</v>
          </cell>
          <cell r="W70">
            <v>18</v>
          </cell>
          <cell r="X70">
            <v>17</v>
          </cell>
          <cell r="Y70">
            <v>16</v>
          </cell>
          <cell r="Z70">
            <v>15</v>
          </cell>
        </row>
        <row r="71">
          <cell r="A71" t="str">
            <v>SI1629_20260128</v>
          </cell>
          <cell r="B71">
            <v>46050</v>
          </cell>
          <cell r="C71">
            <v>15</v>
          </cell>
          <cell r="D71">
            <v>20</v>
          </cell>
          <cell r="E71">
            <v>20</v>
          </cell>
          <cell r="F71">
            <v>15</v>
          </cell>
          <cell r="M71">
            <v>130</v>
          </cell>
          <cell r="N71">
            <v>130</v>
          </cell>
          <cell r="O71">
            <v>130</v>
          </cell>
          <cell r="P71">
            <v>130</v>
          </cell>
          <cell r="W71">
            <v>50</v>
          </cell>
          <cell r="X71">
            <v>40</v>
          </cell>
          <cell r="Y71">
            <v>30</v>
          </cell>
        </row>
        <row r="72">
          <cell r="A72" t="str">
            <v>SI1671_20260126</v>
          </cell>
          <cell r="B72">
            <v>46048</v>
          </cell>
          <cell r="C72">
            <v>10</v>
          </cell>
          <cell r="D72">
            <v>70</v>
          </cell>
          <cell r="E72">
            <v>65</v>
          </cell>
          <cell r="F72">
            <v>10</v>
          </cell>
          <cell r="M72">
            <v>100</v>
          </cell>
          <cell r="N72">
            <v>160</v>
          </cell>
          <cell r="O72">
            <v>160</v>
          </cell>
          <cell r="P72">
            <v>100</v>
          </cell>
          <cell r="W72">
            <v>110</v>
          </cell>
          <cell r="X72">
            <v>40</v>
          </cell>
          <cell r="Y72">
            <v>30</v>
          </cell>
          <cell r="Z72">
            <v>20</v>
          </cell>
        </row>
        <row r="73">
          <cell r="A73" t="str">
            <v>SI1673_20260123</v>
          </cell>
          <cell r="B73">
            <v>46045</v>
          </cell>
          <cell r="C73">
            <v>15</v>
          </cell>
          <cell r="D73">
            <v>25</v>
          </cell>
          <cell r="E73">
            <v>30</v>
          </cell>
          <cell r="F73">
            <v>25</v>
          </cell>
          <cell r="M73">
            <v>100</v>
          </cell>
          <cell r="N73">
            <v>100</v>
          </cell>
          <cell r="O73">
            <v>100</v>
          </cell>
          <cell r="P73">
            <v>100</v>
          </cell>
          <cell r="W73">
            <v>28</v>
          </cell>
          <cell r="X73">
            <v>25</v>
          </cell>
          <cell r="Y73">
            <v>22</v>
          </cell>
          <cell r="Z73">
            <v>20</v>
          </cell>
        </row>
        <row r="74">
          <cell r="A74" t="str">
            <v>SI1672_20260123</v>
          </cell>
          <cell r="B74">
            <v>46045</v>
          </cell>
          <cell r="C74">
            <v>15</v>
          </cell>
          <cell r="D74">
            <v>35</v>
          </cell>
          <cell r="E74">
            <v>40</v>
          </cell>
          <cell r="F74">
            <v>35</v>
          </cell>
          <cell r="M74">
            <v>170</v>
          </cell>
          <cell r="N74">
            <v>170</v>
          </cell>
          <cell r="O74">
            <v>170</v>
          </cell>
          <cell r="P74">
            <v>170</v>
          </cell>
          <cell r="W74">
            <v>25</v>
          </cell>
          <cell r="X74">
            <v>20</v>
          </cell>
          <cell r="Y74">
            <v>15</v>
          </cell>
          <cell r="Z74">
            <v>13</v>
          </cell>
        </row>
        <row r="75">
          <cell r="A75" t="str">
            <v>SI1675_20260123</v>
          </cell>
          <cell r="B75">
            <v>46045</v>
          </cell>
          <cell r="C75">
            <v>10</v>
          </cell>
          <cell r="D75">
            <v>20</v>
          </cell>
          <cell r="E75">
            <v>25</v>
          </cell>
          <cell r="F75">
            <v>15</v>
          </cell>
          <cell r="M75">
            <v>80</v>
          </cell>
          <cell r="N75">
            <v>80</v>
          </cell>
          <cell r="O75">
            <v>80</v>
          </cell>
          <cell r="P75">
            <v>80</v>
          </cell>
          <cell r="W75">
            <v>28</v>
          </cell>
          <cell r="X75">
            <v>25</v>
          </cell>
          <cell r="Y75">
            <v>22</v>
          </cell>
          <cell r="Z75">
            <v>20</v>
          </cell>
        </row>
        <row r="76">
          <cell r="A76" t="str">
            <v>SI1625_20260123</v>
          </cell>
          <cell r="B76">
            <v>46045</v>
          </cell>
          <cell r="C76">
            <v>15</v>
          </cell>
          <cell r="D76">
            <v>20</v>
          </cell>
          <cell r="E76">
            <v>18</v>
          </cell>
          <cell r="F76">
            <v>15</v>
          </cell>
          <cell r="M76">
            <v>120</v>
          </cell>
          <cell r="N76">
            <v>120</v>
          </cell>
          <cell r="O76">
            <v>120</v>
          </cell>
          <cell r="P76">
            <v>120</v>
          </cell>
          <cell r="W76">
            <v>65</v>
          </cell>
          <cell r="X76">
            <v>55</v>
          </cell>
          <cell r="Y76">
            <v>35</v>
          </cell>
        </row>
        <row r="77">
          <cell r="A77" t="str">
            <v>SI1627_20260120</v>
          </cell>
          <cell r="B77">
            <v>46042</v>
          </cell>
          <cell r="C77">
            <v>20</v>
          </cell>
          <cell r="D77">
            <v>25</v>
          </cell>
          <cell r="E77">
            <v>25</v>
          </cell>
          <cell r="F77">
            <v>20</v>
          </cell>
          <cell r="G77">
            <v>15</v>
          </cell>
          <cell r="M77">
            <v>80</v>
          </cell>
          <cell r="N77">
            <v>80</v>
          </cell>
          <cell r="O77">
            <v>80</v>
          </cell>
          <cell r="P77">
            <v>80</v>
          </cell>
          <cell r="Q77">
            <v>80</v>
          </cell>
          <cell r="W77">
            <v>65</v>
          </cell>
          <cell r="X77">
            <v>55</v>
          </cell>
          <cell r="Y77">
            <v>45</v>
          </cell>
          <cell r="Z77">
            <v>35</v>
          </cell>
          <cell r="AA77">
            <v>27</v>
          </cell>
        </row>
        <row r="78">
          <cell r="A78" t="str">
            <v>SI1614_20260116</v>
          </cell>
          <cell r="B78">
            <v>46038</v>
          </cell>
          <cell r="C78">
            <v>15</v>
          </cell>
          <cell r="D78">
            <v>25</v>
          </cell>
          <cell r="E78">
            <v>25</v>
          </cell>
          <cell r="F78">
            <v>20</v>
          </cell>
          <cell r="G78">
            <v>15</v>
          </cell>
          <cell r="M78">
            <v>100</v>
          </cell>
          <cell r="N78">
            <v>100</v>
          </cell>
          <cell r="O78">
            <v>100</v>
          </cell>
          <cell r="P78">
            <v>100</v>
          </cell>
          <cell r="Q78">
            <v>100</v>
          </cell>
          <cell r="W78">
            <v>75</v>
          </cell>
          <cell r="X78">
            <v>55</v>
          </cell>
          <cell r="Y78">
            <v>40</v>
          </cell>
          <cell r="Z78">
            <v>30</v>
          </cell>
        </row>
        <row r="79">
          <cell r="A79" t="str">
            <v>SI1674_20260113</v>
          </cell>
          <cell r="B79">
            <v>46035</v>
          </cell>
          <cell r="C79">
            <v>10</v>
          </cell>
          <cell r="D79">
            <v>20</v>
          </cell>
          <cell r="E79">
            <v>25</v>
          </cell>
          <cell r="F79">
            <v>10</v>
          </cell>
          <cell r="M79">
            <v>60</v>
          </cell>
          <cell r="N79">
            <v>60</v>
          </cell>
          <cell r="O79">
            <v>60</v>
          </cell>
          <cell r="P79">
            <v>60</v>
          </cell>
          <cell r="W79">
            <v>38</v>
          </cell>
          <cell r="X79">
            <v>36</v>
          </cell>
          <cell r="Y79">
            <v>35</v>
          </cell>
          <cell r="Z79">
            <v>33</v>
          </cell>
        </row>
        <row r="80">
          <cell r="A80" t="str">
            <v>SI1673_20260113</v>
          </cell>
          <cell r="B80">
            <v>46035</v>
          </cell>
          <cell r="C80">
            <v>10</v>
          </cell>
          <cell r="D80">
            <v>15</v>
          </cell>
          <cell r="E80">
            <v>20</v>
          </cell>
          <cell r="F80">
            <v>10</v>
          </cell>
          <cell r="M80">
            <v>90</v>
          </cell>
          <cell r="N80">
            <v>90</v>
          </cell>
          <cell r="O80">
            <v>90</v>
          </cell>
          <cell r="P80">
            <v>90</v>
          </cell>
          <cell r="W80">
            <v>38</v>
          </cell>
          <cell r="X80">
            <v>36</v>
          </cell>
          <cell r="Y80">
            <v>35</v>
          </cell>
          <cell r="Z80">
            <v>32</v>
          </cell>
        </row>
        <row r="81">
          <cell r="A81" t="str">
            <v>SI1672_20260113</v>
          </cell>
          <cell r="B81">
            <v>46035</v>
          </cell>
          <cell r="C81">
            <v>20</v>
          </cell>
          <cell r="D81">
            <v>40</v>
          </cell>
          <cell r="E81">
            <v>45</v>
          </cell>
          <cell r="F81">
            <v>30</v>
          </cell>
          <cell r="M81">
            <v>160</v>
          </cell>
          <cell r="N81">
            <v>160</v>
          </cell>
          <cell r="O81">
            <v>160</v>
          </cell>
          <cell r="P81">
            <v>160</v>
          </cell>
          <cell r="W81">
            <v>36</v>
          </cell>
          <cell r="X81">
            <v>30</v>
          </cell>
          <cell r="Y81">
            <v>27</v>
          </cell>
          <cell r="Z81">
            <v>25</v>
          </cell>
        </row>
        <row r="82">
          <cell r="A82" t="str">
            <v>SI1669_20251218</v>
          </cell>
          <cell r="B82">
            <v>46009</v>
          </cell>
          <cell r="C82">
            <v>20</v>
          </cell>
          <cell r="D82">
            <v>8</v>
          </cell>
          <cell r="E82">
            <v>25</v>
          </cell>
          <cell r="F82">
            <v>25</v>
          </cell>
          <cell r="M82">
            <v>80</v>
          </cell>
          <cell r="N82">
            <v>80</v>
          </cell>
          <cell r="O82">
            <v>80</v>
          </cell>
          <cell r="P82">
            <v>80</v>
          </cell>
          <cell r="W82">
            <v>55</v>
          </cell>
          <cell r="X82">
            <v>52</v>
          </cell>
          <cell r="Y82">
            <v>30</v>
          </cell>
        </row>
        <row r="83">
          <cell r="A83" t="str">
            <v>SI1669_20260113</v>
          </cell>
          <cell r="B83">
            <v>46035</v>
          </cell>
          <cell r="C83">
            <v>15</v>
          </cell>
          <cell r="D83">
            <v>30</v>
          </cell>
          <cell r="E83">
            <v>25</v>
          </cell>
          <cell r="F83">
            <v>20</v>
          </cell>
          <cell r="G83">
            <v>15</v>
          </cell>
          <cell r="M83">
            <v>95</v>
          </cell>
          <cell r="N83">
            <v>95</v>
          </cell>
          <cell r="O83">
            <v>95</v>
          </cell>
          <cell r="P83">
            <v>95</v>
          </cell>
          <cell r="Q83">
            <v>95</v>
          </cell>
          <cell r="W83">
            <v>55</v>
          </cell>
          <cell r="X83">
            <v>50</v>
          </cell>
          <cell r="Y83">
            <v>48</v>
          </cell>
          <cell r="Z83">
            <v>45</v>
          </cell>
          <cell r="AA83">
            <v>42</v>
          </cell>
        </row>
        <row r="84">
          <cell r="A84" t="str">
            <v>SI1668_20260112</v>
          </cell>
          <cell r="B84">
            <v>46034</v>
          </cell>
          <cell r="C84">
            <v>8</v>
          </cell>
          <cell r="D84">
            <v>30</v>
          </cell>
          <cell r="E84">
            <v>30</v>
          </cell>
          <cell r="F84">
            <v>20</v>
          </cell>
          <cell r="M84">
            <v>80</v>
          </cell>
          <cell r="N84">
            <v>80</v>
          </cell>
          <cell r="O84">
            <v>80</v>
          </cell>
          <cell r="P84">
            <v>80</v>
          </cell>
          <cell r="W84">
            <v>85</v>
          </cell>
          <cell r="X84">
            <v>75</v>
          </cell>
          <cell r="Y84">
            <v>65</v>
          </cell>
          <cell r="Z84">
            <v>55</v>
          </cell>
        </row>
        <row r="85">
          <cell r="A85" t="str">
            <v>SI1671_20260112</v>
          </cell>
          <cell r="B85">
            <v>46034</v>
          </cell>
          <cell r="C85">
            <v>10</v>
          </cell>
          <cell r="D85">
            <v>40</v>
          </cell>
          <cell r="E85">
            <v>45</v>
          </cell>
          <cell r="F85">
            <v>10</v>
          </cell>
          <cell r="M85">
            <v>100</v>
          </cell>
          <cell r="N85">
            <v>100</v>
          </cell>
          <cell r="O85">
            <v>100</v>
          </cell>
          <cell r="P85">
            <v>100</v>
          </cell>
          <cell r="W85">
            <v>80</v>
          </cell>
          <cell r="X85">
            <v>75</v>
          </cell>
          <cell r="Y85">
            <v>50</v>
          </cell>
          <cell r="Z85">
            <v>35</v>
          </cell>
        </row>
        <row r="86">
          <cell r="A86" t="str">
            <v>SI1661_20251225</v>
          </cell>
          <cell r="B86">
            <v>46016</v>
          </cell>
          <cell r="C86">
            <v>3</v>
          </cell>
          <cell r="D86">
            <v>4</v>
          </cell>
          <cell r="E86">
            <v>4</v>
          </cell>
          <cell r="F86">
            <v>3</v>
          </cell>
          <cell r="M86">
            <v>140</v>
          </cell>
          <cell r="N86">
            <v>140</v>
          </cell>
          <cell r="O86">
            <v>140</v>
          </cell>
          <cell r="P86">
            <v>140</v>
          </cell>
          <cell r="W86">
            <v>80</v>
          </cell>
          <cell r="X86">
            <v>60</v>
          </cell>
          <cell r="Y86">
            <v>40</v>
          </cell>
          <cell r="Z86">
            <v>32</v>
          </cell>
        </row>
        <row r="87">
          <cell r="A87" t="str">
            <v>SI1626_20251223</v>
          </cell>
          <cell r="B87">
            <v>46014</v>
          </cell>
          <cell r="C87">
            <v>10</v>
          </cell>
          <cell r="D87">
            <v>12</v>
          </cell>
          <cell r="E87">
            <v>12</v>
          </cell>
          <cell r="F87">
            <v>12</v>
          </cell>
          <cell r="G87">
            <v>10</v>
          </cell>
          <cell r="M87">
            <v>60</v>
          </cell>
          <cell r="N87">
            <v>60</v>
          </cell>
          <cell r="O87">
            <v>60</v>
          </cell>
          <cell r="P87">
            <v>60</v>
          </cell>
          <cell r="Q87">
            <v>60</v>
          </cell>
          <cell r="W87">
            <v>55</v>
          </cell>
          <cell r="X87">
            <v>40</v>
          </cell>
          <cell r="Y87">
            <v>35</v>
          </cell>
          <cell r="Z87">
            <v>30</v>
          </cell>
          <cell r="AA87">
            <v>23</v>
          </cell>
        </row>
        <row r="88">
          <cell r="A88" t="str">
            <v>SI1631_20251223</v>
          </cell>
          <cell r="B88">
            <v>46014</v>
          </cell>
          <cell r="C88">
            <v>10</v>
          </cell>
          <cell r="D88">
            <v>12</v>
          </cell>
          <cell r="E88">
            <v>12</v>
          </cell>
          <cell r="F88">
            <v>12</v>
          </cell>
          <cell r="G88">
            <v>10</v>
          </cell>
          <cell r="M88">
            <v>60</v>
          </cell>
          <cell r="N88">
            <v>60</v>
          </cell>
          <cell r="O88">
            <v>60</v>
          </cell>
          <cell r="P88">
            <v>60</v>
          </cell>
          <cell r="Q88">
            <v>60</v>
          </cell>
          <cell r="W88">
            <v>55</v>
          </cell>
          <cell r="X88">
            <v>45</v>
          </cell>
          <cell r="Y88">
            <v>40</v>
          </cell>
          <cell r="Z88">
            <v>35</v>
          </cell>
          <cell r="AA88">
            <v>30</v>
          </cell>
        </row>
        <row r="89">
          <cell r="A89" t="str">
            <v>SI1671_20251222</v>
          </cell>
          <cell r="B89">
            <v>46013</v>
          </cell>
          <cell r="C89">
            <v>10</v>
          </cell>
          <cell r="D89">
            <v>70</v>
          </cell>
          <cell r="E89">
            <v>75</v>
          </cell>
          <cell r="F89">
            <v>10</v>
          </cell>
          <cell r="M89">
            <v>100</v>
          </cell>
          <cell r="N89">
            <v>100</v>
          </cell>
          <cell r="O89">
            <v>100</v>
          </cell>
          <cell r="P89">
            <v>100</v>
          </cell>
          <cell r="W89">
            <v>110</v>
          </cell>
          <cell r="X89">
            <v>40</v>
          </cell>
          <cell r="Y89">
            <v>30</v>
          </cell>
          <cell r="Z89">
            <v>20</v>
          </cell>
        </row>
        <row r="90">
          <cell r="A90" t="str">
            <v>SI1670_20251218</v>
          </cell>
          <cell r="B90">
            <v>46009</v>
          </cell>
          <cell r="C90">
            <v>40</v>
          </cell>
          <cell r="D90">
            <v>40</v>
          </cell>
          <cell r="E90">
            <v>40</v>
          </cell>
          <cell r="F90">
            <v>40</v>
          </cell>
          <cell r="G90">
            <v>38</v>
          </cell>
          <cell r="M90">
            <v>80</v>
          </cell>
          <cell r="N90">
            <v>80</v>
          </cell>
          <cell r="O90">
            <v>80</v>
          </cell>
          <cell r="P90">
            <v>80</v>
          </cell>
          <cell r="Q90">
            <v>80</v>
          </cell>
          <cell r="W90">
            <v>50</v>
          </cell>
          <cell r="X90">
            <v>40</v>
          </cell>
          <cell r="Y90">
            <v>35</v>
          </cell>
          <cell r="Z90">
            <v>19</v>
          </cell>
        </row>
        <row r="91">
          <cell r="A91" t="str">
            <v>SI1616_20251215</v>
          </cell>
          <cell r="B91">
            <v>46006</v>
          </cell>
          <cell r="C91">
            <v>35</v>
          </cell>
          <cell r="D91">
            <v>35</v>
          </cell>
          <cell r="E91">
            <v>35</v>
          </cell>
          <cell r="F91">
            <v>35</v>
          </cell>
          <cell r="G91">
            <v>25</v>
          </cell>
          <cell r="M91">
            <v>145</v>
          </cell>
          <cell r="N91">
            <v>145</v>
          </cell>
          <cell r="O91">
            <v>145</v>
          </cell>
          <cell r="P91">
            <v>145</v>
          </cell>
          <cell r="Q91">
            <v>145</v>
          </cell>
          <cell r="W91">
            <v>25</v>
          </cell>
          <cell r="X91">
            <v>20</v>
          </cell>
          <cell r="Y91">
            <v>18</v>
          </cell>
          <cell r="Z91">
            <v>15</v>
          </cell>
        </row>
        <row r="92">
          <cell r="A92" t="str">
            <v>SI1669_20251209</v>
          </cell>
          <cell r="B92">
            <v>46000</v>
          </cell>
          <cell r="C92">
            <v>20</v>
          </cell>
          <cell r="D92">
            <v>8</v>
          </cell>
          <cell r="E92">
            <v>25</v>
          </cell>
          <cell r="F92">
            <v>10</v>
          </cell>
          <cell r="M92">
            <v>130</v>
          </cell>
          <cell r="N92">
            <v>130</v>
          </cell>
          <cell r="O92">
            <v>130</v>
          </cell>
          <cell r="P92">
            <v>130</v>
          </cell>
          <cell r="W92">
            <v>58</v>
          </cell>
          <cell r="X92">
            <v>52</v>
          </cell>
          <cell r="Y92">
            <v>35</v>
          </cell>
          <cell r="Z92">
            <v>28</v>
          </cell>
        </row>
        <row r="93">
          <cell r="A93" t="str">
            <v>SI1670_20251205</v>
          </cell>
          <cell r="B93">
            <v>45996</v>
          </cell>
          <cell r="C93">
            <v>20</v>
          </cell>
          <cell r="D93">
            <v>30</v>
          </cell>
          <cell r="E93">
            <v>30</v>
          </cell>
          <cell r="F93">
            <v>25</v>
          </cell>
          <cell r="G93">
            <v>15</v>
          </cell>
          <cell r="M93">
            <v>80</v>
          </cell>
          <cell r="N93">
            <v>80</v>
          </cell>
          <cell r="O93">
            <v>80</v>
          </cell>
          <cell r="P93">
            <v>80</v>
          </cell>
          <cell r="Q93">
            <v>80</v>
          </cell>
          <cell r="W93">
            <v>60</v>
          </cell>
          <cell r="X93">
            <v>55</v>
          </cell>
          <cell r="Y93">
            <v>45</v>
          </cell>
          <cell r="Z93">
            <v>25</v>
          </cell>
        </row>
        <row r="94">
          <cell r="A94" t="str">
            <v>SI1671_20251203</v>
          </cell>
          <cell r="B94">
            <v>45994</v>
          </cell>
          <cell r="C94">
            <v>10</v>
          </cell>
          <cell r="D94">
            <v>40</v>
          </cell>
          <cell r="E94">
            <v>25</v>
          </cell>
          <cell r="F94">
            <v>10</v>
          </cell>
          <cell r="M94">
            <v>100</v>
          </cell>
          <cell r="N94">
            <v>100</v>
          </cell>
          <cell r="O94">
            <v>100</v>
          </cell>
          <cell r="P94">
            <v>100</v>
          </cell>
          <cell r="W94">
            <v>125</v>
          </cell>
          <cell r="X94">
            <v>70</v>
          </cell>
          <cell r="Y94">
            <v>30</v>
          </cell>
          <cell r="Z94">
            <v>20</v>
          </cell>
        </row>
        <row r="95">
          <cell r="A95" t="str">
            <v>SI1668_20251203</v>
          </cell>
          <cell r="B95">
            <v>45994</v>
          </cell>
          <cell r="C95">
            <v>15</v>
          </cell>
          <cell r="D95">
            <v>20</v>
          </cell>
          <cell r="E95">
            <v>30</v>
          </cell>
          <cell r="F95">
            <v>10</v>
          </cell>
          <cell r="M95">
            <v>70</v>
          </cell>
          <cell r="N95">
            <v>70</v>
          </cell>
          <cell r="O95">
            <v>70</v>
          </cell>
          <cell r="P95">
            <v>70</v>
          </cell>
          <cell r="W95">
            <v>60</v>
          </cell>
          <cell r="X95">
            <v>40</v>
          </cell>
          <cell r="Y95">
            <v>30</v>
          </cell>
          <cell r="Z95">
            <v>22</v>
          </cell>
        </row>
        <row r="96">
          <cell r="A96" t="str">
            <v>SI1669_20251124</v>
          </cell>
          <cell r="B96">
            <v>45985</v>
          </cell>
          <cell r="C96">
            <v>20</v>
          </cell>
          <cell r="D96">
            <v>8</v>
          </cell>
          <cell r="E96">
            <v>25</v>
          </cell>
          <cell r="F96">
            <v>25</v>
          </cell>
          <cell r="M96">
            <v>80</v>
          </cell>
          <cell r="N96">
            <v>80</v>
          </cell>
          <cell r="O96">
            <v>80</v>
          </cell>
          <cell r="P96">
            <v>80</v>
          </cell>
          <cell r="W96">
            <v>55</v>
          </cell>
          <cell r="X96">
            <v>52</v>
          </cell>
          <cell r="Y96">
            <v>30</v>
          </cell>
        </row>
        <row r="97">
          <cell r="A97" t="str">
            <v>SI1617_20251121</v>
          </cell>
          <cell r="B97">
            <v>45982</v>
          </cell>
          <cell r="C97">
            <v>10</v>
          </cell>
          <cell r="D97">
            <v>15</v>
          </cell>
          <cell r="E97">
            <v>10</v>
          </cell>
          <cell r="F97">
            <v>8</v>
          </cell>
          <cell r="M97">
            <v>100</v>
          </cell>
          <cell r="N97">
            <v>100</v>
          </cell>
          <cell r="O97">
            <v>100</v>
          </cell>
          <cell r="P97">
            <v>100</v>
          </cell>
          <cell r="W97">
            <v>45</v>
          </cell>
          <cell r="X97">
            <v>40</v>
          </cell>
          <cell r="Y97">
            <v>35</v>
          </cell>
          <cell r="Z97">
            <v>25</v>
          </cell>
        </row>
        <row r="98">
          <cell r="A98" t="str">
            <v>SI1620_20251121</v>
          </cell>
          <cell r="B98">
            <v>45982</v>
          </cell>
          <cell r="C98">
            <v>15</v>
          </cell>
          <cell r="D98">
            <v>30</v>
          </cell>
          <cell r="E98">
            <v>25</v>
          </cell>
          <cell r="F98">
            <v>20</v>
          </cell>
          <cell r="M98">
            <v>100</v>
          </cell>
          <cell r="N98">
            <v>100</v>
          </cell>
          <cell r="O98">
            <v>100</v>
          </cell>
          <cell r="P98">
            <v>100</v>
          </cell>
          <cell r="W98">
            <v>55</v>
          </cell>
          <cell r="X98">
            <v>40</v>
          </cell>
          <cell r="Y98">
            <v>35</v>
          </cell>
          <cell r="Z98">
            <v>25</v>
          </cell>
        </row>
        <row r="99">
          <cell r="A99" t="str">
            <v>SI1628_20251121</v>
          </cell>
          <cell r="B99">
            <v>45982</v>
          </cell>
          <cell r="C99">
            <v>15</v>
          </cell>
          <cell r="D99">
            <v>20</v>
          </cell>
          <cell r="E99">
            <v>25</v>
          </cell>
          <cell r="F99">
            <v>20</v>
          </cell>
          <cell r="G99">
            <v>15</v>
          </cell>
          <cell r="M99">
            <v>100</v>
          </cell>
          <cell r="N99">
            <v>100</v>
          </cell>
          <cell r="O99">
            <v>100</v>
          </cell>
          <cell r="P99">
            <v>100</v>
          </cell>
          <cell r="Q99">
            <v>100</v>
          </cell>
          <cell r="W99">
            <v>65</v>
          </cell>
          <cell r="X99">
            <v>50</v>
          </cell>
          <cell r="Y99">
            <v>35</v>
          </cell>
          <cell r="Z99">
            <v>25</v>
          </cell>
          <cell r="AA99">
            <v>0</v>
          </cell>
        </row>
        <row r="100">
          <cell r="A100" t="str">
            <v>SI1632_20251121</v>
          </cell>
          <cell r="B100">
            <v>45982</v>
          </cell>
          <cell r="C100">
            <v>15</v>
          </cell>
          <cell r="D100">
            <v>22</v>
          </cell>
          <cell r="E100">
            <v>25</v>
          </cell>
          <cell r="F100">
            <v>22</v>
          </cell>
          <cell r="G100">
            <v>15</v>
          </cell>
          <cell r="M100">
            <v>100</v>
          </cell>
          <cell r="N100">
            <v>100</v>
          </cell>
          <cell r="O100">
            <v>100</v>
          </cell>
          <cell r="P100">
            <v>100</v>
          </cell>
          <cell r="Q100">
            <v>100</v>
          </cell>
          <cell r="W100">
            <v>60</v>
          </cell>
          <cell r="X100">
            <v>45</v>
          </cell>
          <cell r="Y100">
            <v>35</v>
          </cell>
          <cell r="Z100">
            <v>30</v>
          </cell>
          <cell r="AA100">
            <v>0</v>
          </cell>
        </row>
        <row r="101">
          <cell r="A101" t="str">
            <v>SI1618_20251119</v>
          </cell>
          <cell r="B101">
            <v>45980</v>
          </cell>
          <cell r="C101">
            <v>20</v>
          </cell>
          <cell r="D101">
            <v>25</v>
          </cell>
          <cell r="E101">
            <v>25</v>
          </cell>
          <cell r="F101">
            <v>20</v>
          </cell>
          <cell r="M101">
            <v>85</v>
          </cell>
          <cell r="N101">
            <v>85</v>
          </cell>
          <cell r="O101">
            <v>85</v>
          </cell>
          <cell r="P101">
            <v>85</v>
          </cell>
          <cell r="W101">
            <v>55</v>
          </cell>
          <cell r="X101">
            <v>45</v>
          </cell>
          <cell r="Y101">
            <v>30</v>
          </cell>
        </row>
        <row r="102">
          <cell r="A102" t="str">
            <v>SI1614_20251119</v>
          </cell>
          <cell r="B102">
            <v>45980</v>
          </cell>
          <cell r="C102">
            <v>15</v>
          </cell>
          <cell r="D102">
            <v>25</v>
          </cell>
          <cell r="E102">
            <v>25</v>
          </cell>
          <cell r="F102">
            <v>20</v>
          </cell>
          <cell r="G102">
            <v>15</v>
          </cell>
          <cell r="M102">
            <v>100</v>
          </cell>
          <cell r="N102">
            <v>100</v>
          </cell>
          <cell r="O102">
            <v>100</v>
          </cell>
          <cell r="P102">
            <v>100</v>
          </cell>
          <cell r="Q102">
            <v>100</v>
          </cell>
          <cell r="W102">
            <v>75</v>
          </cell>
          <cell r="X102">
            <v>55</v>
          </cell>
          <cell r="Y102">
            <v>40</v>
          </cell>
          <cell r="Z102">
            <v>30</v>
          </cell>
        </row>
        <row r="103">
          <cell r="A103" t="str">
            <v>SI1653_20251114</v>
          </cell>
          <cell r="B103">
            <v>45975</v>
          </cell>
          <cell r="C103">
            <v>12</v>
          </cell>
          <cell r="D103">
            <v>15</v>
          </cell>
          <cell r="E103">
            <v>15</v>
          </cell>
          <cell r="F103">
            <v>12</v>
          </cell>
          <cell r="M103">
            <v>100</v>
          </cell>
          <cell r="N103">
            <v>100</v>
          </cell>
          <cell r="O103">
            <v>100</v>
          </cell>
          <cell r="P103">
            <v>100</v>
          </cell>
          <cell r="W103">
            <v>35</v>
          </cell>
          <cell r="X103">
            <v>33</v>
          </cell>
          <cell r="Y103">
            <v>29</v>
          </cell>
        </row>
        <row r="104">
          <cell r="A104" t="str">
            <v>SI1654_20251111</v>
          </cell>
          <cell r="B104">
            <v>45972</v>
          </cell>
          <cell r="C104">
            <v>10</v>
          </cell>
          <cell r="D104">
            <v>20</v>
          </cell>
          <cell r="E104">
            <v>25</v>
          </cell>
          <cell r="F104">
            <v>15</v>
          </cell>
          <cell r="M104">
            <v>100</v>
          </cell>
          <cell r="N104">
            <v>100</v>
          </cell>
          <cell r="O104">
            <v>100</v>
          </cell>
          <cell r="P104">
            <v>100</v>
          </cell>
          <cell r="W104">
            <v>40</v>
          </cell>
          <cell r="X104">
            <v>35</v>
          </cell>
          <cell r="Y104">
            <v>30</v>
          </cell>
          <cell r="Z104">
            <v>23</v>
          </cell>
        </row>
        <row r="105">
          <cell r="A105" t="str">
            <v>SI1622_20251110</v>
          </cell>
          <cell r="B105">
            <v>45971</v>
          </cell>
          <cell r="C105">
            <v>20</v>
          </cell>
          <cell r="D105">
            <v>10</v>
          </cell>
          <cell r="E105">
            <v>15</v>
          </cell>
          <cell r="M105">
            <v>120</v>
          </cell>
          <cell r="N105">
            <v>120</v>
          </cell>
          <cell r="O105">
            <v>120</v>
          </cell>
          <cell r="W105">
            <v>30</v>
          </cell>
          <cell r="X105">
            <v>20</v>
          </cell>
          <cell r="Y105">
            <v>16</v>
          </cell>
        </row>
        <row r="106">
          <cell r="A106" t="str">
            <v>SI1611_20251104</v>
          </cell>
          <cell r="B106">
            <v>45965</v>
          </cell>
          <cell r="C106">
            <v>12</v>
          </cell>
          <cell r="D106">
            <v>20</v>
          </cell>
          <cell r="E106">
            <v>20</v>
          </cell>
          <cell r="F106">
            <v>15</v>
          </cell>
          <cell r="M106">
            <v>100</v>
          </cell>
          <cell r="N106">
            <v>100</v>
          </cell>
          <cell r="O106">
            <v>100</v>
          </cell>
          <cell r="P106">
            <v>100</v>
          </cell>
          <cell r="W106">
            <v>50</v>
          </cell>
          <cell r="X106">
            <v>40</v>
          </cell>
          <cell r="Y106">
            <v>30</v>
          </cell>
        </row>
        <row r="107">
          <cell r="A107" t="str">
            <v>SI1638_20251104</v>
          </cell>
          <cell r="B107">
            <v>45965</v>
          </cell>
          <cell r="C107">
            <v>10</v>
          </cell>
          <cell r="D107">
            <v>12</v>
          </cell>
          <cell r="E107">
            <v>12</v>
          </cell>
          <cell r="F107">
            <v>10</v>
          </cell>
          <cell r="M107">
            <v>120</v>
          </cell>
          <cell r="N107">
            <v>120</v>
          </cell>
          <cell r="O107">
            <v>120</v>
          </cell>
          <cell r="P107">
            <v>120</v>
          </cell>
          <cell r="W107">
            <v>45</v>
          </cell>
          <cell r="X107">
            <v>35</v>
          </cell>
          <cell r="Y107">
            <v>20</v>
          </cell>
        </row>
        <row r="108">
          <cell r="A108" t="str">
            <v>SI1642_20251030</v>
          </cell>
          <cell r="B108">
            <v>45960</v>
          </cell>
          <cell r="C108">
            <v>15</v>
          </cell>
          <cell r="D108">
            <v>17</v>
          </cell>
          <cell r="E108">
            <v>15</v>
          </cell>
          <cell r="F108">
            <v>15</v>
          </cell>
          <cell r="G108">
            <v>10</v>
          </cell>
          <cell r="M108">
            <v>120</v>
          </cell>
          <cell r="N108">
            <v>120</v>
          </cell>
          <cell r="O108">
            <v>120</v>
          </cell>
          <cell r="P108">
            <v>120</v>
          </cell>
          <cell r="Q108">
            <v>120</v>
          </cell>
          <cell r="W108">
            <v>50</v>
          </cell>
          <cell r="X108">
            <v>40</v>
          </cell>
          <cell r="Y108">
            <v>30</v>
          </cell>
          <cell r="Z108">
            <v>20</v>
          </cell>
        </row>
        <row r="109">
          <cell r="A109" t="str">
            <v>SI1654_20251029</v>
          </cell>
          <cell r="B109" t="str">
            <v/>
          </cell>
          <cell r="C109">
            <v>20</v>
          </cell>
          <cell r="D109">
            <v>25</v>
          </cell>
          <cell r="E109">
            <v>25</v>
          </cell>
          <cell r="F109">
            <v>25</v>
          </cell>
          <cell r="G109">
            <v>15</v>
          </cell>
          <cell r="M109">
            <v>100</v>
          </cell>
          <cell r="N109">
            <v>100</v>
          </cell>
          <cell r="O109">
            <v>100</v>
          </cell>
          <cell r="P109">
            <v>100</v>
          </cell>
          <cell r="W109">
            <v>40</v>
          </cell>
          <cell r="X109">
            <v>35</v>
          </cell>
          <cell r="Y109">
            <v>33</v>
          </cell>
          <cell r="Z109">
            <v>32</v>
          </cell>
        </row>
        <row r="110">
          <cell r="A110" t="str">
            <v>SI1653_20251029</v>
          </cell>
          <cell r="B110">
            <v>45959</v>
          </cell>
          <cell r="C110">
            <v>12</v>
          </cell>
          <cell r="D110">
            <v>15</v>
          </cell>
          <cell r="E110">
            <v>15</v>
          </cell>
          <cell r="F110">
            <v>12</v>
          </cell>
          <cell r="M110">
            <v>100</v>
          </cell>
          <cell r="N110">
            <v>100</v>
          </cell>
          <cell r="O110">
            <v>100</v>
          </cell>
          <cell r="P110">
            <v>100</v>
          </cell>
          <cell r="W110">
            <v>35</v>
          </cell>
          <cell r="X110">
            <v>33</v>
          </cell>
          <cell r="Y110">
            <v>28</v>
          </cell>
        </row>
        <row r="111">
          <cell r="A111" t="str">
            <v>SI1638_20251027</v>
          </cell>
          <cell r="B111">
            <v>45957</v>
          </cell>
          <cell r="C111">
            <v>10</v>
          </cell>
          <cell r="D111">
            <v>25</v>
          </cell>
          <cell r="E111">
            <v>30</v>
          </cell>
          <cell r="F111">
            <v>15</v>
          </cell>
          <cell r="M111">
            <v>120</v>
          </cell>
          <cell r="N111">
            <v>120</v>
          </cell>
          <cell r="O111">
            <v>120</v>
          </cell>
          <cell r="P111">
            <v>120</v>
          </cell>
          <cell r="W111">
            <v>55</v>
          </cell>
          <cell r="X111">
            <v>35</v>
          </cell>
          <cell r="Y111">
            <v>25</v>
          </cell>
          <cell r="Z111">
            <v>20</v>
          </cell>
        </row>
        <row r="112">
          <cell r="A112" t="str">
            <v>SI1642_20251023</v>
          </cell>
          <cell r="B112">
            <v>45953</v>
          </cell>
          <cell r="C112">
            <v>10</v>
          </cell>
          <cell r="D112">
            <v>12</v>
          </cell>
          <cell r="E112">
            <v>12</v>
          </cell>
          <cell r="F112">
            <v>12</v>
          </cell>
          <cell r="G112">
            <v>10</v>
          </cell>
          <cell r="M112">
            <v>100</v>
          </cell>
          <cell r="N112">
            <v>100</v>
          </cell>
          <cell r="O112">
            <v>100</v>
          </cell>
          <cell r="P112">
            <v>100</v>
          </cell>
          <cell r="Q112">
            <v>100</v>
          </cell>
          <cell r="W112">
            <v>54</v>
          </cell>
          <cell r="X112">
            <v>45</v>
          </cell>
          <cell r="Y112">
            <v>40</v>
          </cell>
          <cell r="Z112">
            <v>30</v>
          </cell>
        </row>
        <row r="113">
          <cell r="A113" t="str">
            <v>SI1641_20251023</v>
          </cell>
          <cell r="B113">
            <v>45953</v>
          </cell>
          <cell r="C113">
            <v>15</v>
          </cell>
          <cell r="D113">
            <v>20</v>
          </cell>
          <cell r="E113">
            <v>20</v>
          </cell>
          <cell r="F113">
            <v>20</v>
          </cell>
          <cell r="G113">
            <v>12</v>
          </cell>
          <cell r="M113">
            <v>100</v>
          </cell>
          <cell r="N113">
            <v>100</v>
          </cell>
          <cell r="O113">
            <v>100</v>
          </cell>
          <cell r="P113">
            <v>100</v>
          </cell>
          <cell r="Q113">
            <v>100</v>
          </cell>
          <cell r="W113">
            <v>50</v>
          </cell>
          <cell r="X113">
            <v>45</v>
          </cell>
          <cell r="Y113">
            <v>40</v>
          </cell>
          <cell r="Z113">
            <v>33</v>
          </cell>
        </row>
        <row r="114">
          <cell r="A114" t="str">
            <v>SI1652_20251020</v>
          </cell>
          <cell r="B114">
            <v>45950</v>
          </cell>
          <cell r="C114">
            <v>15</v>
          </cell>
          <cell r="D114">
            <v>10</v>
          </cell>
          <cell r="E114">
            <v>25</v>
          </cell>
          <cell r="F114">
            <v>10</v>
          </cell>
          <cell r="M114">
            <v>130</v>
          </cell>
          <cell r="N114">
            <v>130</v>
          </cell>
          <cell r="O114">
            <v>130</v>
          </cell>
          <cell r="P114">
            <v>130</v>
          </cell>
          <cell r="W114">
            <v>70</v>
          </cell>
          <cell r="X114">
            <v>65</v>
          </cell>
          <cell r="Y114">
            <v>55</v>
          </cell>
          <cell r="Z114">
            <v>52</v>
          </cell>
        </row>
        <row r="115">
          <cell r="A115" t="str">
            <v>SI1655_20251016</v>
          </cell>
          <cell r="B115">
            <v>45946</v>
          </cell>
          <cell r="C115">
            <v>10</v>
          </cell>
          <cell r="D115">
            <v>20</v>
          </cell>
          <cell r="E115">
            <v>20</v>
          </cell>
          <cell r="F115">
            <v>15</v>
          </cell>
          <cell r="M115">
            <v>120</v>
          </cell>
          <cell r="N115">
            <v>120</v>
          </cell>
          <cell r="O115">
            <v>120</v>
          </cell>
          <cell r="P115">
            <v>120</v>
          </cell>
          <cell r="W115">
            <v>85</v>
          </cell>
          <cell r="X115">
            <v>65</v>
          </cell>
          <cell r="Y115">
            <v>40</v>
          </cell>
        </row>
        <row r="116">
          <cell r="A116" t="str">
            <v>SI1640_20251014</v>
          </cell>
          <cell r="B116">
            <v>45944</v>
          </cell>
          <cell r="C116">
            <v>10</v>
          </cell>
          <cell r="D116">
            <v>20</v>
          </cell>
          <cell r="E116">
            <v>25</v>
          </cell>
          <cell r="F116">
            <v>15</v>
          </cell>
          <cell r="M116">
            <v>70</v>
          </cell>
          <cell r="N116">
            <v>70</v>
          </cell>
          <cell r="O116">
            <v>70</v>
          </cell>
          <cell r="P116">
            <v>70</v>
          </cell>
          <cell r="W116">
            <v>40</v>
          </cell>
          <cell r="X116">
            <v>35</v>
          </cell>
          <cell r="Y116">
            <v>30</v>
          </cell>
          <cell r="Z116">
            <v>27</v>
          </cell>
        </row>
        <row r="117">
          <cell r="A117" t="str">
            <v>SI1638_20251014</v>
          </cell>
          <cell r="B117">
            <v>45944</v>
          </cell>
          <cell r="C117">
            <v>20</v>
          </cell>
          <cell r="D117">
            <v>25</v>
          </cell>
          <cell r="E117">
            <v>25</v>
          </cell>
          <cell r="F117">
            <v>25</v>
          </cell>
          <cell r="G117">
            <v>15</v>
          </cell>
          <cell r="M117">
            <v>120</v>
          </cell>
          <cell r="N117">
            <v>120</v>
          </cell>
          <cell r="O117">
            <v>120</v>
          </cell>
          <cell r="P117">
            <v>120</v>
          </cell>
          <cell r="Q117">
            <v>120</v>
          </cell>
          <cell r="W117">
            <v>55</v>
          </cell>
          <cell r="X117">
            <v>45</v>
          </cell>
          <cell r="Y117">
            <v>35</v>
          </cell>
          <cell r="Z117">
            <v>30</v>
          </cell>
        </row>
        <row r="118">
          <cell r="A118" t="str">
            <v>SI1654_20251014</v>
          </cell>
          <cell r="B118">
            <v>45944</v>
          </cell>
          <cell r="C118">
            <v>20</v>
          </cell>
          <cell r="D118">
            <v>25</v>
          </cell>
          <cell r="E118">
            <v>25</v>
          </cell>
          <cell r="F118">
            <v>25</v>
          </cell>
          <cell r="G118">
            <v>15</v>
          </cell>
          <cell r="M118">
            <v>100</v>
          </cell>
          <cell r="N118">
            <v>100</v>
          </cell>
          <cell r="O118">
            <v>100</v>
          </cell>
          <cell r="P118">
            <v>100</v>
          </cell>
          <cell r="Q118">
            <v>100</v>
          </cell>
          <cell r="W118">
            <v>40</v>
          </cell>
          <cell r="X118">
            <v>35</v>
          </cell>
          <cell r="Y118">
            <v>33</v>
          </cell>
          <cell r="Z118">
            <v>32</v>
          </cell>
        </row>
        <row r="119">
          <cell r="A119" t="str">
            <v>SI1642_20250930</v>
          </cell>
          <cell r="B119">
            <v>45930</v>
          </cell>
          <cell r="C119">
            <v>10</v>
          </cell>
          <cell r="D119">
            <v>20</v>
          </cell>
          <cell r="E119">
            <v>15</v>
          </cell>
          <cell r="F119">
            <v>10</v>
          </cell>
          <cell r="M119">
            <v>110</v>
          </cell>
          <cell r="N119">
            <v>110</v>
          </cell>
          <cell r="O119">
            <v>110</v>
          </cell>
          <cell r="P119">
            <v>110</v>
          </cell>
          <cell r="W119">
            <v>45</v>
          </cell>
          <cell r="X119">
            <v>35</v>
          </cell>
          <cell r="Y119">
            <v>30</v>
          </cell>
          <cell r="Z119">
            <v>25</v>
          </cell>
        </row>
        <row r="120">
          <cell r="A120" t="str">
            <v>SI1638_20250930</v>
          </cell>
          <cell r="B120">
            <v>45930</v>
          </cell>
          <cell r="C120">
            <v>10</v>
          </cell>
          <cell r="D120">
            <v>20</v>
          </cell>
          <cell r="E120">
            <v>15</v>
          </cell>
          <cell r="F120">
            <v>10</v>
          </cell>
          <cell r="M120">
            <v>45</v>
          </cell>
          <cell r="N120">
            <v>40</v>
          </cell>
          <cell r="O120">
            <v>35</v>
          </cell>
          <cell r="P120">
            <v>30</v>
          </cell>
          <cell r="W120">
            <v>60</v>
          </cell>
          <cell r="X120">
            <v>60</v>
          </cell>
          <cell r="Y120">
            <v>60</v>
          </cell>
          <cell r="Z120">
            <v>60</v>
          </cell>
        </row>
        <row r="121">
          <cell r="A121" t="str">
            <v>SI1620_20250929</v>
          </cell>
          <cell r="B121">
            <v>45929</v>
          </cell>
          <cell r="C121">
            <v>10</v>
          </cell>
          <cell r="D121">
            <v>22</v>
          </cell>
          <cell r="E121">
            <v>20</v>
          </cell>
          <cell r="F121">
            <v>15</v>
          </cell>
          <cell r="M121">
            <v>110</v>
          </cell>
          <cell r="N121">
            <v>110</v>
          </cell>
          <cell r="O121">
            <v>110</v>
          </cell>
          <cell r="P121">
            <v>110</v>
          </cell>
          <cell r="W121">
            <v>55</v>
          </cell>
          <cell r="X121">
            <v>40</v>
          </cell>
          <cell r="Y121">
            <v>33</v>
          </cell>
        </row>
        <row r="122">
          <cell r="A122" t="str">
            <v>SI1653_20251003</v>
          </cell>
          <cell r="B122">
            <v>45933</v>
          </cell>
          <cell r="C122">
            <v>12</v>
          </cell>
          <cell r="D122">
            <v>15</v>
          </cell>
          <cell r="E122">
            <v>15</v>
          </cell>
          <cell r="F122">
            <v>12</v>
          </cell>
          <cell r="M122">
            <v>100</v>
          </cell>
          <cell r="N122">
            <v>100</v>
          </cell>
          <cell r="O122">
            <v>100</v>
          </cell>
          <cell r="P122">
            <v>100</v>
          </cell>
          <cell r="W122">
            <v>35</v>
          </cell>
          <cell r="X122">
            <v>33</v>
          </cell>
          <cell r="Y122">
            <v>29</v>
          </cell>
        </row>
        <row r="123">
          <cell r="A123" t="str">
            <v>SI1652_20251003</v>
          </cell>
          <cell r="B123">
            <v>45933</v>
          </cell>
          <cell r="C123">
            <v>12</v>
          </cell>
          <cell r="D123">
            <v>20</v>
          </cell>
          <cell r="E123">
            <v>20</v>
          </cell>
          <cell r="F123">
            <v>12</v>
          </cell>
          <cell r="M123">
            <v>100</v>
          </cell>
          <cell r="N123">
            <v>100</v>
          </cell>
          <cell r="O123">
            <v>100</v>
          </cell>
          <cell r="P123">
            <v>100</v>
          </cell>
          <cell r="Q123">
            <v>100</v>
          </cell>
          <cell r="W123">
            <v>52</v>
          </cell>
          <cell r="X123">
            <v>45</v>
          </cell>
          <cell r="Y123">
            <v>33</v>
          </cell>
        </row>
        <row r="124">
          <cell r="A124" t="str">
            <v>SI1637_20251001</v>
          </cell>
          <cell r="B124">
            <v>45931</v>
          </cell>
          <cell r="C124">
            <v>10</v>
          </cell>
          <cell r="D124">
            <v>20</v>
          </cell>
          <cell r="E124">
            <v>25</v>
          </cell>
          <cell r="F124">
            <v>15</v>
          </cell>
          <cell r="M124">
            <v>130</v>
          </cell>
          <cell r="N124">
            <v>130</v>
          </cell>
          <cell r="O124">
            <v>130</v>
          </cell>
          <cell r="P124">
            <v>130</v>
          </cell>
          <cell r="W124">
            <v>70</v>
          </cell>
          <cell r="X124">
            <v>40</v>
          </cell>
          <cell r="Y124">
            <v>20</v>
          </cell>
          <cell r="Z124">
            <v>13</v>
          </cell>
        </row>
        <row r="125">
          <cell r="A125" t="str">
            <v>SI1643_20251001</v>
          </cell>
          <cell r="B125">
            <v>45931</v>
          </cell>
          <cell r="C125">
            <v>10</v>
          </cell>
          <cell r="D125">
            <v>20</v>
          </cell>
          <cell r="E125">
            <v>25</v>
          </cell>
          <cell r="F125">
            <v>15</v>
          </cell>
          <cell r="M125">
            <v>110</v>
          </cell>
          <cell r="N125">
            <v>110</v>
          </cell>
          <cell r="O125">
            <v>110</v>
          </cell>
          <cell r="P125">
            <v>110</v>
          </cell>
          <cell r="W125">
            <v>50</v>
          </cell>
          <cell r="X125">
            <v>40</v>
          </cell>
          <cell r="Y125">
            <v>30</v>
          </cell>
          <cell r="Z125">
            <v>22</v>
          </cell>
        </row>
        <row r="126">
          <cell r="A126" t="str">
            <v>SI1629_20250926</v>
          </cell>
          <cell r="B126">
            <v>45926</v>
          </cell>
          <cell r="C126">
            <v>20</v>
          </cell>
          <cell r="D126">
            <v>30</v>
          </cell>
          <cell r="E126">
            <v>30</v>
          </cell>
          <cell r="F126">
            <v>25</v>
          </cell>
          <cell r="M126">
            <v>130</v>
          </cell>
          <cell r="N126">
            <v>130</v>
          </cell>
          <cell r="O126">
            <v>130</v>
          </cell>
          <cell r="P126">
            <v>130</v>
          </cell>
          <cell r="W126">
            <v>22</v>
          </cell>
          <cell r="X126">
            <v>18</v>
          </cell>
          <cell r="Y126">
            <v>10</v>
          </cell>
          <cell r="Z126">
            <v>7</v>
          </cell>
        </row>
        <row r="127">
          <cell r="A127" t="str">
            <v>SI1634_20250926</v>
          </cell>
          <cell r="B127">
            <v>45926</v>
          </cell>
          <cell r="C127">
            <v>20</v>
          </cell>
          <cell r="D127">
            <v>30</v>
          </cell>
          <cell r="E127">
            <v>30</v>
          </cell>
          <cell r="F127">
            <v>25</v>
          </cell>
          <cell r="G127">
            <v>20</v>
          </cell>
          <cell r="M127">
            <v>120</v>
          </cell>
          <cell r="N127">
            <v>120</v>
          </cell>
          <cell r="O127">
            <v>120</v>
          </cell>
          <cell r="P127">
            <v>120</v>
          </cell>
          <cell r="Q127">
            <v>120</v>
          </cell>
          <cell r="W127">
            <v>20</v>
          </cell>
          <cell r="X127">
            <v>18</v>
          </cell>
          <cell r="Y127">
            <v>12</v>
          </cell>
          <cell r="Z127">
            <v>8</v>
          </cell>
        </row>
        <row r="128">
          <cell r="A128" t="str">
            <v>SI1641_20250925</v>
          </cell>
          <cell r="B128">
            <v>45925</v>
          </cell>
          <cell r="C128">
            <v>10</v>
          </cell>
          <cell r="D128">
            <v>15</v>
          </cell>
          <cell r="E128">
            <v>20</v>
          </cell>
          <cell r="F128">
            <v>10</v>
          </cell>
          <cell r="M128">
            <v>100</v>
          </cell>
          <cell r="N128">
            <v>100</v>
          </cell>
          <cell r="O128">
            <v>100</v>
          </cell>
          <cell r="P128">
            <v>100</v>
          </cell>
          <cell r="W128">
            <v>40</v>
          </cell>
          <cell r="X128">
            <v>35</v>
          </cell>
          <cell r="Y128">
            <v>30</v>
          </cell>
        </row>
        <row r="129">
          <cell r="A129" t="str">
            <v>SI1640_20250923</v>
          </cell>
          <cell r="B129">
            <v>45923</v>
          </cell>
          <cell r="C129">
            <v>10</v>
          </cell>
          <cell r="D129">
            <v>15</v>
          </cell>
          <cell r="E129">
            <v>12</v>
          </cell>
          <cell r="F129">
            <v>10</v>
          </cell>
          <cell r="M129">
            <v>45</v>
          </cell>
          <cell r="N129">
            <v>45</v>
          </cell>
          <cell r="O129">
            <v>45</v>
          </cell>
          <cell r="P129">
            <v>45</v>
          </cell>
          <cell r="W129">
            <v>45</v>
          </cell>
          <cell r="X129">
            <v>40</v>
          </cell>
          <cell r="Y129">
            <v>35</v>
          </cell>
          <cell r="Z129">
            <v>33</v>
          </cell>
        </row>
        <row r="130">
          <cell r="A130" t="str">
            <v>SI1637_20250923</v>
          </cell>
          <cell r="B130">
            <v>45923</v>
          </cell>
          <cell r="C130">
            <v>35</v>
          </cell>
          <cell r="D130">
            <v>40</v>
          </cell>
          <cell r="E130">
            <v>40</v>
          </cell>
          <cell r="F130">
            <v>15</v>
          </cell>
          <cell r="M130">
            <v>120</v>
          </cell>
          <cell r="N130">
            <v>120</v>
          </cell>
          <cell r="O130">
            <v>120</v>
          </cell>
          <cell r="P130">
            <v>120</v>
          </cell>
          <cell r="W130">
            <v>110</v>
          </cell>
          <cell r="X130">
            <v>80</v>
          </cell>
          <cell r="Y130">
            <v>50</v>
          </cell>
          <cell r="Z130">
            <v>30</v>
          </cell>
        </row>
        <row r="131">
          <cell r="A131" t="str">
            <v>SI1643_20250923</v>
          </cell>
          <cell r="B131">
            <v>45923</v>
          </cell>
          <cell r="C131">
            <v>10</v>
          </cell>
          <cell r="D131">
            <v>20</v>
          </cell>
          <cell r="E131">
            <v>25</v>
          </cell>
          <cell r="F131">
            <v>10</v>
          </cell>
          <cell r="M131">
            <v>140</v>
          </cell>
          <cell r="N131">
            <v>140</v>
          </cell>
          <cell r="O131">
            <v>140</v>
          </cell>
          <cell r="P131">
            <v>140</v>
          </cell>
          <cell r="W131">
            <v>55</v>
          </cell>
          <cell r="X131">
            <v>50</v>
          </cell>
          <cell r="Y131">
            <v>30</v>
          </cell>
          <cell r="Z131">
            <v>25</v>
          </cell>
        </row>
        <row r="132">
          <cell r="A132" t="str">
            <v>SI1642_20250915</v>
          </cell>
          <cell r="B132">
            <v>45915</v>
          </cell>
          <cell r="C132">
            <v>10</v>
          </cell>
          <cell r="D132">
            <v>15</v>
          </cell>
          <cell r="E132">
            <v>20</v>
          </cell>
          <cell r="F132">
            <v>10</v>
          </cell>
          <cell r="M132">
            <v>55</v>
          </cell>
          <cell r="N132">
            <v>45</v>
          </cell>
          <cell r="O132">
            <v>40</v>
          </cell>
          <cell r="P132">
            <v>33</v>
          </cell>
          <cell r="W132">
            <v>100</v>
          </cell>
          <cell r="X132">
            <v>100</v>
          </cell>
          <cell r="Y132">
            <v>100</v>
          </cell>
          <cell r="Z132">
            <v>100</v>
          </cell>
        </row>
        <row r="133">
          <cell r="A133" t="str">
            <v>SI1638_20250915</v>
          </cell>
          <cell r="B133">
            <v>45915</v>
          </cell>
          <cell r="C133">
            <v>10</v>
          </cell>
          <cell r="D133">
            <v>15</v>
          </cell>
          <cell r="E133">
            <v>20</v>
          </cell>
          <cell r="F133">
            <v>10</v>
          </cell>
          <cell r="M133">
            <v>120</v>
          </cell>
          <cell r="N133">
            <v>120</v>
          </cell>
          <cell r="O133">
            <v>120</v>
          </cell>
          <cell r="P133">
            <v>120</v>
          </cell>
          <cell r="W133">
            <v>55</v>
          </cell>
          <cell r="X133">
            <v>45</v>
          </cell>
          <cell r="Y133">
            <v>35</v>
          </cell>
          <cell r="Z133">
            <v>28</v>
          </cell>
        </row>
        <row r="134">
          <cell r="A134" t="str">
            <v>SI1643_20250913</v>
          </cell>
          <cell r="B134">
            <v>45913</v>
          </cell>
          <cell r="C134">
            <v>15</v>
          </cell>
          <cell r="D134">
            <v>20</v>
          </cell>
          <cell r="E134">
            <v>25</v>
          </cell>
          <cell r="F134">
            <v>10</v>
          </cell>
          <cell r="M134">
            <v>120</v>
          </cell>
          <cell r="N134">
            <v>120</v>
          </cell>
          <cell r="O134">
            <v>120</v>
          </cell>
          <cell r="P134">
            <v>120</v>
          </cell>
          <cell r="W134">
            <v>55</v>
          </cell>
          <cell r="X134">
            <v>50</v>
          </cell>
          <cell r="Y134">
            <v>30</v>
          </cell>
          <cell r="Z134">
            <v>25</v>
          </cell>
        </row>
        <row r="135">
          <cell r="A135" t="str">
            <v>SI1637_20250913</v>
          </cell>
          <cell r="B135">
            <v>45913</v>
          </cell>
          <cell r="C135">
            <v>10</v>
          </cell>
          <cell r="D135">
            <v>40</v>
          </cell>
          <cell r="E135">
            <v>45</v>
          </cell>
          <cell r="F135">
            <v>15</v>
          </cell>
          <cell r="M135">
            <v>120</v>
          </cell>
          <cell r="N135">
            <v>120</v>
          </cell>
          <cell r="O135">
            <v>120</v>
          </cell>
          <cell r="P135">
            <v>120</v>
          </cell>
          <cell r="W135">
            <v>80</v>
          </cell>
          <cell r="X135">
            <v>60</v>
          </cell>
          <cell r="Y135">
            <v>25</v>
          </cell>
          <cell r="Z135">
            <v>18</v>
          </cell>
        </row>
        <row r="136">
          <cell r="A136" t="str">
            <v>SI1632_20250911</v>
          </cell>
          <cell r="B136">
            <v>45911</v>
          </cell>
          <cell r="C136">
            <v>12</v>
          </cell>
          <cell r="D136">
            <v>15</v>
          </cell>
          <cell r="E136">
            <v>15</v>
          </cell>
          <cell r="F136">
            <v>12</v>
          </cell>
          <cell r="G136">
            <v>10</v>
          </cell>
          <cell r="M136">
            <v>100</v>
          </cell>
          <cell r="N136">
            <v>100</v>
          </cell>
          <cell r="O136">
            <v>100</v>
          </cell>
          <cell r="P136">
            <v>100</v>
          </cell>
          <cell r="Q136">
            <v>100</v>
          </cell>
          <cell r="W136">
            <v>50</v>
          </cell>
          <cell r="X136">
            <v>45</v>
          </cell>
          <cell r="Y136">
            <v>38</v>
          </cell>
          <cell r="Z136">
            <v>28</v>
          </cell>
        </row>
        <row r="137">
          <cell r="A137" t="str">
            <v>SI1628_20250911</v>
          </cell>
          <cell r="B137">
            <v>45911</v>
          </cell>
          <cell r="C137">
            <v>12</v>
          </cell>
          <cell r="D137">
            <v>15</v>
          </cell>
          <cell r="E137">
            <v>15</v>
          </cell>
          <cell r="F137">
            <v>12</v>
          </cell>
          <cell r="G137">
            <v>10</v>
          </cell>
          <cell r="M137">
            <v>100</v>
          </cell>
          <cell r="N137">
            <v>100</v>
          </cell>
          <cell r="O137">
            <v>100</v>
          </cell>
          <cell r="P137">
            <v>100</v>
          </cell>
          <cell r="Q137">
            <v>100</v>
          </cell>
          <cell r="W137">
            <v>50</v>
          </cell>
          <cell r="X137">
            <v>40</v>
          </cell>
          <cell r="Y137">
            <v>30</v>
          </cell>
          <cell r="Z137">
            <v>22</v>
          </cell>
        </row>
        <row r="138">
          <cell r="A138" t="str">
            <v>SI1619_20250911</v>
          </cell>
          <cell r="B138">
            <v>45911</v>
          </cell>
          <cell r="C138">
            <v>4.5999999999999996</v>
          </cell>
          <cell r="D138">
            <v>6</v>
          </cell>
          <cell r="E138">
            <v>6</v>
          </cell>
          <cell r="F138">
            <v>6</v>
          </cell>
          <cell r="M138">
            <v>160</v>
          </cell>
          <cell r="N138">
            <v>160</v>
          </cell>
          <cell r="O138">
            <v>160</v>
          </cell>
          <cell r="P138">
            <v>160</v>
          </cell>
          <cell r="W138">
            <v>70</v>
          </cell>
          <cell r="X138">
            <v>50</v>
          </cell>
          <cell r="Y138">
            <v>25</v>
          </cell>
        </row>
        <row r="139">
          <cell r="A139" t="str">
            <v>SI1618_20250911</v>
          </cell>
          <cell r="B139">
            <v>45911</v>
          </cell>
          <cell r="C139">
            <v>12</v>
          </cell>
          <cell r="D139">
            <v>20</v>
          </cell>
          <cell r="E139">
            <v>20</v>
          </cell>
          <cell r="F139">
            <v>15</v>
          </cell>
          <cell r="G139">
            <v>12</v>
          </cell>
          <cell r="M139">
            <v>80</v>
          </cell>
          <cell r="N139">
            <v>80</v>
          </cell>
          <cell r="O139">
            <v>80</v>
          </cell>
          <cell r="P139">
            <v>80</v>
          </cell>
          <cell r="Q139">
            <v>80</v>
          </cell>
          <cell r="W139">
            <v>50</v>
          </cell>
          <cell r="X139">
            <v>40</v>
          </cell>
          <cell r="Y139">
            <v>35</v>
          </cell>
          <cell r="Z139">
            <v>33</v>
          </cell>
        </row>
        <row r="140">
          <cell r="A140" t="str">
            <v>SI1614_20250911</v>
          </cell>
          <cell r="B140">
            <v>45911</v>
          </cell>
          <cell r="C140">
            <v>20</v>
          </cell>
          <cell r="D140">
            <v>25</v>
          </cell>
          <cell r="E140">
            <v>25</v>
          </cell>
          <cell r="F140">
            <v>20</v>
          </cell>
          <cell r="G140">
            <v>18</v>
          </cell>
          <cell r="M140">
            <v>100</v>
          </cell>
          <cell r="N140">
            <v>100</v>
          </cell>
          <cell r="O140">
            <v>100</v>
          </cell>
          <cell r="P140">
            <v>100</v>
          </cell>
          <cell r="Q140">
            <v>100</v>
          </cell>
          <cell r="W140">
            <v>70</v>
          </cell>
          <cell r="X140">
            <v>60</v>
          </cell>
          <cell r="Y140">
            <v>50</v>
          </cell>
          <cell r="Z140">
            <v>40</v>
          </cell>
        </row>
        <row r="141">
          <cell r="A141" t="str">
            <v>SI1641_20250903</v>
          </cell>
          <cell r="B141">
            <v>45903</v>
          </cell>
          <cell r="C141">
            <v>16</v>
          </cell>
          <cell r="D141">
            <v>25</v>
          </cell>
          <cell r="E141">
            <v>25</v>
          </cell>
          <cell r="F141">
            <v>15</v>
          </cell>
          <cell r="M141">
            <v>80</v>
          </cell>
          <cell r="N141">
            <v>80</v>
          </cell>
          <cell r="O141">
            <v>80</v>
          </cell>
          <cell r="P141">
            <v>80</v>
          </cell>
          <cell r="W141">
            <v>55</v>
          </cell>
          <cell r="X141">
            <v>50</v>
          </cell>
          <cell r="Y141">
            <v>40</v>
          </cell>
          <cell r="Z141">
            <v>25</v>
          </cell>
        </row>
        <row r="142">
          <cell r="A142" t="str">
            <v>SI1640_20250903</v>
          </cell>
          <cell r="B142">
            <v>45903</v>
          </cell>
          <cell r="C142">
            <v>12</v>
          </cell>
          <cell r="D142">
            <v>20</v>
          </cell>
          <cell r="E142">
            <v>20</v>
          </cell>
          <cell r="F142">
            <v>13</v>
          </cell>
          <cell r="M142">
            <v>80</v>
          </cell>
          <cell r="N142">
            <v>80</v>
          </cell>
          <cell r="O142">
            <v>80</v>
          </cell>
          <cell r="P142">
            <v>80</v>
          </cell>
          <cell r="W142">
            <v>45</v>
          </cell>
          <cell r="X142">
            <v>40</v>
          </cell>
          <cell r="Y142">
            <v>33</v>
          </cell>
          <cell r="Z142">
            <v>25</v>
          </cell>
        </row>
        <row r="143">
          <cell r="A143" t="str">
            <v>SI1642_20250902</v>
          </cell>
          <cell r="B143">
            <v>45902</v>
          </cell>
          <cell r="C143">
            <v>10</v>
          </cell>
          <cell r="D143">
            <v>12</v>
          </cell>
          <cell r="E143">
            <v>12</v>
          </cell>
          <cell r="F143">
            <v>12</v>
          </cell>
          <cell r="G143">
            <v>10</v>
          </cell>
          <cell r="M143">
            <v>100</v>
          </cell>
          <cell r="N143">
            <v>100</v>
          </cell>
          <cell r="O143">
            <v>100</v>
          </cell>
          <cell r="P143">
            <v>100</v>
          </cell>
          <cell r="Q143">
            <v>100</v>
          </cell>
          <cell r="W143">
            <v>45</v>
          </cell>
          <cell r="X143">
            <v>35</v>
          </cell>
          <cell r="Y143">
            <v>30</v>
          </cell>
          <cell r="Z143">
            <v>26</v>
          </cell>
        </row>
        <row r="144">
          <cell r="A144" t="str">
            <v>SI1638_20250902</v>
          </cell>
          <cell r="B144">
            <v>45902</v>
          </cell>
          <cell r="C144">
            <v>10</v>
          </cell>
          <cell r="D144">
            <v>12</v>
          </cell>
          <cell r="E144">
            <v>12</v>
          </cell>
          <cell r="F144">
            <v>12</v>
          </cell>
          <cell r="G144">
            <v>10</v>
          </cell>
          <cell r="M144">
            <v>120</v>
          </cell>
          <cell r="N144">
            <v>120</v>
          </cell>
          <cell r="O144">
            <v>120</v>
          </cell>
          <cell r="P144">
            <v>120</v>
          </cell>
          <cell r="Q144">
            <v>120</v>
          </cell>
          <cell r="W144">
            <v>55</v>
          </cell>
          <cell r="X144">
            <v>45</v>
          </cell>
          <cell r="Y144">
            <v>35</v>
          </cell>
          <cell r="Z144">
            <v>28</v>
          </cell>
        </row>
        <row r="145">
          <cell r="A145" t="str">
            <v>SI1643_20250828</v>
          </cell>
          <cell r="B145">
            <v>45897</v>
          </cell>
          <cell r="C145">
            <v>10</v>
          </cell>
          <cell r="D145">
            <v>30</v>
          </cell>
          <cell r="E145">
            <v>35</v>
          </cell>
          <cell r="F145">
            <v>10</v>
          </cell>
          <cell r="M145">
            <v>120</v>
          </cell>
          <cell r="N145">
            <v>120</v>
          </cell>
          <cell r="O145">
            <v>120</v>
          </cell>
          <cell r="P145">
            <v>120</v>
          </cell>
          <cell r="W145">
            <v>60</v>
          </cell>
          <cell r="X145">
            <v>50</v>
          </cell>
          <cell r="Y145">
            <v>30</v>
          </cell>
          <cell r="Z145">
            <v>25</v>
          </cell>
        </row>
        <row r="146">
          <cell r="A146" t="str">
            <v>SI1637_20250828</v>
          </cell>
          <cell r="B146">
            <v>45897</v>
          </cell>
          <cell r="C146">
            <v>10</v>
          </cell>
          <cell r="D146">
            <v>30</v>
          </cell>
          <cell r="E146">
            <v>35</v>
          </cell>
          <cell r="F146">
            <v>15</v>
          </cell>
          <cell r="M146">
            <v>120</v>
          </cell>
          <cell r="N146">
            <v>120</v>
          </cell>
          <cell r="O146">
            <v>120</v>
          </cell>
          <cell r="P146">
            <v>120</v>
          </cell>
          <cell r="W146">
            <v>80</v>
          </cell>
          <cell r="X146">
            <v>60</v>
          </cell>
          <cell r="Y146">
            <v>25</v>
          </cell>
          <cell r="Z146">
            <v>18</v>
          </cell>
        </row>
        <row r="147">
          <cell r="A147" t="str">
            <v>SI1628_20250812</v>
          </cell>
          <cell r="B147">
            <v>45896</v>
          </cell>
          <cell r="C147">
            <v>10</v>
          </cell>
          <cell r="D147">
            <v>30</v>
          </cell>
          <cell r="E147">
            <v>35</v>
          </cell>
          <cell r="F147">
            <v>15</v>
          </cell>
          <cell r="M147">
            <v>120</v>
          </cell>
          <cell r="N147">
            <v>120</v>
          </cell>
          <cell r="O147">
            <v>120</v>
          </cell>
          <cell r="P147">
            <v>120</v>
          </cell>
          <cell r="W147">
            <v>80</v>
          </cell>
          <cell r="X147">
            <v>60</v>
          </cell>
          <cell r="Y147">
            <v>25</v>
          </cell>
          <cell r="Z147">
            <v>18</v>
          </cell>
        </row>
        <row r="148">
          <cell r="A148" t="str">
            <v>SI1628_20250812</v>
          </cell>
          <cell r="B148">
            <v>45896</v>
          </cell>
          <cell r="C148">
            <v>20</v>
          </cell>
          <cell r="D148">
            <v>25</v>
          </cell>
          <cell r="E148">
            <v>23</v>
          </cell>
          <cell r="F148">
            <v>20</v>
          </cell>
          <cell r="M148">
            <v>80</v>
          </cell>
          <cell r="N148">
            <v>80</v>
          </cell>
          <cell r="O148">
            <v>80</v>
          </cell>
          <cell r="P148">
            <v>80</v>
          </cell>
          <cell r="W148">
            <v>50</v>
          </cell>
          <cell r="X148">
            <v>35</v>
          </cell>
          <cell r="Y148">
            <v>25</v>
          </cell>
          <cell r="Z148">
            <v>18</v>
          </cell>
        </row>
        <row r="149">
          <cell r="A149" t="str">
            <v>SI1632_20250812</v>
          </cell>
          <cell r="B149">
            <v>45896</v>
          </cell>
          <cell r="C149">
            <v>20</v>
          </cell>
          <cell r="D149">
            <v>25</v>
          </cell>
          <cell r="E149">
            <v>23</v>
          </cell>
          <cell r="F149">
            <v>20</v>
          </cell>
          <cell r="M149">
            <v>80</v>
          </cell>
          <cell r="N149">
            <v>80</v>
          </cell>
          <cell r="O149">
            <v>80</v>
          </cell>
          <cell r="P149">
            <v>80</v>
          </cell>
          <cell r="W149">
            <v>50</v>
          </cell>
          <cell r="X149">
            <v>40</v>
          </cell>
          <cell r="Y149">
            <v>30</v>
          </cell>
          <cell r="Z149">
            <v>25</v>
          </cell>
        </row>
        <row r="150">
          <cell r="A150" t="str">
            <v>SI1627_20250812</v>
          </cell>
          <cell r="B150">
            <v>45895</v>
          </cell>
          <cell r="C150">
            <v>15</v>
          </cell>
          <cell r="D150">
            <v>20</v>
          </cell>
          <cell r="E150">
            <v>18</v>
          </cell>
          <cell r="F150">
            <v>15</v>
          </cell>
          <cell r="M150">
            <v>120</v>
          </cell>
          <cell r="N150">
            <v>120</v>
          </cell>
          <cell r="O150">
            <v>120</v>
          </cell>
          <cell r="P150">
            <v>120</v>
          </cell>
          <cell r="W150">
            <v>65</v>
          </cell>
          <cell r="X150">
            <v>55</v>
          </cell>
          <cell r="Y150">
            <v>35</v>
          </cell>
          <cell r="Z150">
            <v>18</v>
          </cell>
        </row>
        <row r="151">
          <cell r="A151" t="str">
            <v>SI1633_20250812</v>
          </cell>
          <cell r="B151">
            <v>45895</v>
          </cell>
          <cell r="C151">
            <v>15</v>
          </cell>
          <cell r="D151">
            <v>20</v>
          </cell>
          <cell r="E151">
            <v>18</v>
          </cell>
          <cell r="F151">
            <v>15</v>
          </cell>
          <cell r="M151">
            <v>130</v>
          </cell>
          <cell r="N151">
            <v>130</v>
          </cell>
          <cell r="O151">
            <v>130</v>
          </cell>
          <cell r="P151">
            <v>130</v>
          </cell>
          <cell r="W151">
            <v>50</v>
          </cell>
          <cell r="X151">
            <v>45</v>
          </cell>
          <cell r="Y151">
            <v>35</v>
          </cell>
          <cell r="Z151">
            <v>30</v>
          </cell>
        </row>
        <row r="152">
          <cell r="A152" t="str">
            <v>SI1625_20250812</v>
          </cell>
          <cell r="B152">
            <v>45894</v>
          </cell>
          <cell r="C152">
            <v>15</v>
          </cell>
          <cell r="D152">
            <v>20</v>
          </cell>
          <cell r="E152">
            <v>18</v>
          </cell>
          <cell r="F152">
            <v>15</v>
          </cell>
          <cell r="M152">
            <v>120</v>
          </cell>
          <cell r="N152">
            <v>120</v>
          </cell>
          <cell r="O152">
            <v>120</v>
          </cell>
          <cell r="P152">
            <v>120</v>
          </cell>
          <cell r="W152">
            <v>65</v>
          </cell>
          <cell r="X152">
            <v>55</v>
          </cell>
          <cell r="Y152">
            <v>35</v>
          </cell>
          <cell r="Z152">
            <v>18</v>
          </cell>
        </row>
        <row r="153">
          <cell r="A153" t="str">
            <v>SI1630_20250812</v>
          </cell>
          <cell r="B153">
            <v>45894</v>
          </cell>
          <cell r="C153">
            <v>15</v>
          </cell>
          <cell r="D153">
            <v>20</v>
          </cell>
          <cell r="E153">
            <v>18</v>
          </cell>
          <cell r="F153">
            <v>15</v>
          </cell>
          <cell r="M153">
            <v>120</v>
          </cell>
          <cell r="N153">
            <v>120</v>
          </cell>
          <cell r="O153">
            <v>120</v>
          </cell>
          <cell r="P153">
            <v>120</v>
          </cell>
          <cell r="W153">
            <v>45</v>
          </cell>
          <cell r="X153">
            <v>35</v>
          </cell>
          <cell r="Y153">
            <v>25</v>
          </cell>
          <cell r="Z153">
            <v>18</v>
          </cell>
        </row>
        <row r="154">
          <cell r="A154" t="str">
            <v>SI1626_20250812</v>
          </cell>
          <cell r="B154">
            <v>45895</v>
          </cell>
          <cell r="C154">
            <v>25</v>
          </cell>
          <cell r="D154">
            <v>28</v>
          </cell>
          <cell r="E154">
            <v>28</v>
          </cell>
          <cell r="F154">
            <v>22</v>
          </cell>
          <cell r="M154">
            <v>80</v>
          </cell>
          <cell r="N154">
            <v>80</v>
          </cell>
          <cell r="O154">
            <v>80</v>
          </cell>
          <cell r="P154">
            <v>80</v>
          </cell>
          <cell r="W154">
            <v>50</v>
          </cell>
          <cell r="X154">
            <v>40</v>
          </cell>
          <cell r="Y154">
            <v>30</v>
          </cell>
          <cell r="Z154">
            <v>20</v>
          </cell>
        </row>
        <row r="155">
          <cell r="A155" t="str">
            <v>SI1631_20250812</v>
          </cell>
          <cell r="B155">
            <v>45895</v>
          </cell>
          <cell r="C155">
            <v>25</v>
          </cell>
          <cell r="D155">
            <v>28</v>
          </cell>
          <cell r="E155">
            <v>28</v>
          </cell>
          <cell r="F155">
            <v>22</v>
          </cell>
          <cell r="M155">
            <v>80</v>
          </cell>
          <cell r="N155">
            <v>80</v>
          </cell>
          <cell r="O155">
            <v>80</v>
          </cell>
          <cell r="P155">
            <v>80</v>
          </cell>
          <cell r="W155">
            <v>50</v>
          </cell>
          <cell r="X155">
            <v>40</v>
          </cell>
          <cell r="Y155">
            <v>30</v>
          </cell>
          <cell r="Z155">
            <v>25</v>
          </cell>
        </row>
        <row r="156">
          <cell r="A156" t="str">
            <v>test</v>
          </cell>
          <cell r="B156" t="str">
            <v/>
          </cell>
        </row>
        <row r="157">
          <cell r="A157" t="str">
            <v>SI1634_20250822</v>
          </cell>
          <cell r="B157">
            <v>45891</v>
          </cell>
          <cell r="C157">
            <v>20</v>
          </cell>
          <cell r="D157">
            <v>30</v>
          </cell>
          <cell r="E157">
            <v>30</v>
          </cell>
          <cell r="F157">
            <v>25</v>
          </cell>
          <cell r="G157">
            <v>20</v>
          </cell>
        </row>
        <row r="158">
          <cell r="A158" t="str">
            <v>SI1614_20250812</v>
          </cell>
          <cell r="B158">
            <v>45889</v>
          </cell>
          <cell r="C158">
            <v>15</v>
          </cell>
          <cell r="D158">
            <v>25</v>
          </cell>
          <cell r="E158">
            <v>25</v>
          </cell>
          <cell r="F158">
            <v>20</v>
          </cell>
          <cell r="G158">
            <v>15</v>
          </cell>
          <cell r="M158">
            <v>100</v>
          </cell>
          <cell r="N158">
            <v>100</v>
          </cell>
          <cell r="O158">
            <v>100</v>
          </cell>
          <cell r="P158">
            <v>100</v>
          </cell>
          <cell r="Q158">
            <v>100</v>
          </cell>
          <cell r="W158">
            <v>75</v>
          </cell>
          <cell r="X158">
            <v>55</v>
          </cell>
          <cell r="Y158">
            <v>50</v>
          </cell>
          <cell r="Z158">
            <v>40</v>
          </cell>
        </row>
        <row r="159">
          <cell r="A159" t="str">
            <v>SI1623_20250812</v>
          </cell>
          <cell r="B159">
            <v>45888</v>
          </cell>
          <cell r="C159">
            <v>8</v>
          </cell>
          <cell r="D159">
            <v>10</v>
          </cell>
          <cell r="E159">
            <v>10</v>
          </cell>
          <cell r="F159">
            <v>8</v>
          </cell>
          <cell r="M159">
            <v>120</v>
          </cell>
          <cell r="N159">
            <v>120</v>
          </cell>
          <cell r="O159">
            <v>120</v>
          </cell>
          <cell r="P159">
            <v>120</v>
          </cell>
          <cell r="W159">
            <v>45</v>
          </cell>
          <cell r="X159">
            <v>35</v>
          </cell>
          <cell r="Y159">
            <v>30</v>
          </cell>
        </row>
        <row r="160">
          <cell r="A160" t="str">
            <v>SI1622_20250812</v>
          </cell>
          <cell r="B160">
            <v>45883</v>
          </cell>
          <cell r="C160">
            <v>4</v>
          </cell>
          <cell r="D160">
            <v>3</v>
          </cell>
          <cell r="E160">
            <v>3</v>
          </cell>
          <cell r="F160">
            <v>3</v>
          </cell>
          <cell r="M160">
            <v>130</v>
          </cell>
          <cell r="N160">
            <v>130</v>
          </cell>
          <cell r="O160">
            <v>130</v>
          </cell>
          <cell r="P160">
            <v>130</v>
          </cell>
          <cell r="W160">
            <v>32</v>
          </cell>
          <cell r="X160">
            <v>28</v>
          </cell>
          <cell r="Y160">
            <v>16</v>
          </cell>
        </row>
        <row r="161">
          <cell r="A161" t="str">
            <v>test_20250817</v>
          </cell>
          <cell r="B161" t="str">
            <v/>
          </cell>
          <cell r="C161">
            <v>1</v>
          </cell>
          <cell r="D161">
            <v>2</v>
          </cell>
          <cell r="E161">
            <v>3</v>
          </cell>
          <cell r="F161">
            <v>4</v>
          </cell>
          <cell r="G161">
            <v>5</v>
          </cell>
          <cell r="H161">
            <v>6</v>
          </cell>
          <cell r="I161">
            <v>7</v>
          </cell>
          <cell r="J161">
            <v>8</v>
          </cell>
          <cell r="K161">
            <v>9</v>
          </cell>
          <cell r="L161">
            <v>10</v>
          </cell>
          <cell r="M161">
            <v>10</v>
          </cell>
          <cell r="N161">
            <v>9</v>
          </cell>
          <cell r="O161">
            <v>8</v>
          </cell>
          <cell r="P161">
            <v>7</v>
          </cell>
          <cell r="Q161">
            <v>6</v>
          </cell>
          <cell r="R161">
            <v>5</v>
          </cell>
          <cell r="S161">
            <v>4</v>
          </cell>
          <cell r="T161">
            <v>3</v>
          </cell>
          <cell r="U161">
            <v>2</v>
          </cell>
          <cell r="V161">
            <v>1</v>
          </cell>
        </row>
        <row r="162">
          <cell r="A162" t="str">
            <v>SI1620_20250812</v>
          </cell>
          <cell r="B162">
            <v>45883</v>
          </cell>
          <cell r="C162">
            <v>10</v>
          </cell>
          <cell r="D162">
            <v>20</v>
          </cell>
          <cell r="E162">
            <v>20</v>
          </cell>
          <cell r="F162">
            <v>18</v>
          </cell>
          <cell r="G162">
            <v>12</v>
          </cell>
          <cell r="M162">
            <v>100</v>
          </cell>
          <cell r="N162">
            <v>100</v>
          </cell>
          <cell r="O162">
            <v>100</v>
          </cell>
          <cell r="P162">
            <v>100</v>
          </cell>
          <cell r="Q162">
            <v>100</v>
          </cell>
          <cell r="W162">
            <v>50</v>
          </cell>
          <cell r="X162">
            <v>40</v>
          </cell>
          <cell r="Y162">
            <v>35</v>
          </cell>
          <cell r="Z162">
            <v>30</v>
          </cell>
        </row>
        <row r="163">
          <cell r="A163" t="str">
            <v>SI1617_20250812</v>
          </cell>
          <cell r="B163">
            <v>45882</v>
          </cell>
          <cell r="C163">
            <v>10</v>
          </cell>
          <cell r="D163">
            <v>15</v>
          </cell>
          <cell r="E163">
            <v>15</v>
          </cell>
          <cell r="F163">
            <v>15</v>
          </cell>
          <cell r="G163">
            <v>10</v>
          </cell>
          <cell r="M163">
            <v>100</v>
          </cell>
          <cell r="N163">
            <v>100</v>
          </cell>
          <cell r="O163">
            <v>100</v>
          </cell>
          <cell r="P163">
            <v>100</v>
          </cell>
          <cell r="Q163">
            <v>100</v>
          </cell>
          <cell r="W163">
            <v>45</v>
          </cell>
          <cell r="X163">
            <v>35</v>
          </cell>
          <cell r="Y163">
            <v>30</v>
          </cell>
          <cell r="Z163">
            <v>26</v>
          </cell>
        </row>
        <row r="164">
          <cell r="A164" t="str">
            <v>SI1621_20250812</v>
          </cell>
          <cell r="B164">
            <v>45882</v>
          </cell>
          <cell r="C164">
            <v>10</v>
          </cell>
          <cell r="D164">
            <v>18</v>
          </cell>
          <cell r="E164">
            <v>18</v>
          </cell>
          <cell r="F164">
            <v>18</v>
          </cell>
          <cell r="G164">
            <v>12</v>
          </cell>
          <cell r="M164">
            <v>110</v>
          </cell>
          <cell r="N164">
            <v>110</v>
          </cell>
          <cell r="O164">
            <v>110</v>
          </cell>
          <cell r="P164">
            <v>110</v>
          </cell>
          <cell r="Q164">
            <v>110</v>
          </cell>
          <cell r="W164">
            <v>48</v>
          </cell>
          <cell r="X164">
            <v>35</v>
          </cell>
          <cell r="Y164">
            <v>30</v>
          </cell>
          <cell r="Z164">
            <v>23</v>
          </cell>
        </row>
        <row r="165">
          <cell r="A165" t="str">
            <v>SI1615_20250812</v>
          </cell>
          <cell r="B165">
            <v>45882</v>
          </cell>
          <cell r="C165">
            <v>20</v>
          </cell>
          <cell r="D165">
            <v>28</v>
          </cell>
          <cell r="E165">
            <v>28</v>
          </cell>
          <cell r="F165">
            <v>20</v>
          </cell>
          <cell r="M165">
            <v>80</v>
          </cell>
          <cell r="N165">
            <v>80</v>
          </cell>
          <cell r="O165">
            <v>80</v>
          </cell>
          <cell r="P165">
            <v>80</v>
          </cell>
          <cell r="W165">
            <v>35</v>
          </cell>
          <cell r="X165">
            <v>33</v>
          </cell>
          <cell r="Y165">
            <v>30</v>
          </cell>
          <cell r="Z165">
            <v>28</v>
          </cell>
        </row>
        <row r="166">
          <cell r="A166" t="str">
            <v>SI1611_20250807</v>
          </cell>
          <cell r="B166">
            <v>45876</v>
          </cell>
          <cell r="C166">
            <v>15</v>
          </cell>
          <cell r="D166">
            <v>25</v>
          </cell>
          <cell r="E166">
            <v>10</v>
          </cell>
          <cell r="M166">
            <v>80</v>
          </cell>
          <cell r="N166">
            <v>80</v>
          </cell>
          <cell r="O166">
            <v>80</v>
          </cell>
          <cell r="W166">
            <v>30</v>
          </cell>
          <cell r="X166">
            <v>20</v>
          </cell>
          <cell r="Y166">
            <v>8</v>
          </cell>
        </row>
        <row r="167">
          <cell r="A167" t="str">
            <v>SI1626_20250708</v>
          </cell>
          <cell r="B167">
            <v>45869</v>
          </cell>
          <cell r="C167">
            <v>8</v>
          </cell>
          <cell r="D167">
            <v>12</v>
          </cell>
          <cell r="E167">
            <v>12</v>
          </cell>
          <cell r="F167">
            <v>10</v>
          </cell>
          <cell r="M167">
            <v>100</v>
          </cell>
          <cell r="N167">
            <v>100</v>
          </cell>
          <cell r="O167">
            <v>100</v>
          </cell>
          <cell r="P167">
            <v>100</v>
          </cell>
          <cell r="W167">
            <v>63</v>
          </cell>
          <cell r="X167">
            <v>55</v>
          </cell>
          <cell r="Y167">
            <v>45</v>
          </cell>
          <cell r="Z167">
            <v>36</v>
          </cell>
        </row>
        <row r="168">
          <cell r="A168" t="str">
            <v>SI1631_20250708</v>
          </cell>
          <cell r="B168">
            <v>45869</v>
          </cell>
          <cell r="C168">
            <v>8</v>
          </cell>
          <cell r="D168">
            <v>12</v>
          </cell>
          <cell r="E168">
            <v>12</v>
          </cell>
          <cell r="F168">
            <v>10</v>
          </cell>
          <cell r="M168">
            <v>90</v>
          </cell>
          <cell r="N168">
            <v>90</v>
          </cell>
          <cell r="O168">
            <v>90</v>
          </cell>
          <cell r="P168">
            <v>90</v>
          </cell>
          <cell r="W168">
            <v>50</v>
          </cell>
          <cell r="X168">
            <v>45</v>
          </cell>
          <cell r="Y168">
            <v>40</v>
          </cell>
          <cell r="Z168">
            <v>34</v>
          </cell>
        </row>
        <row r="169">
          <cell r="A169" t="str">
            <v>SI1632_20250708</v>
          </cell>
          <cell r="B169">
            <v>45868</v>
          </cell>
          <cell r="C169">
            <v>8</v>
          </cell>
          <cell r="D169">
            <v>16</v>
          </cell>
          <cell r="E169">
            <v>16</v>
          </cell>
          <cell r="F169">
            <v>12</v>
          </cell>
          <cell r="M169">
            <v>100</v>
          </cell>
          <cell r="N169">
            <v>100</v>
          </cell>
          <cell r="O169">
            <v>100</v>
          </cell>
          <cell r="P169">
            <v>100</v>
          </cell>
          <cell r="W169">
            <v>50</v>
          </cell>
          <cell r="X169">
            <v>45</v>
          </cell>
          <cell r="Y169">
            <v>40</v>
          </cell>
          <cell r="Z169">
            <v>33</v>
          </cell>
        </row>
        <row r="170">
          <cell r="A170" t="str">
            <v>SI1628_20250708</v>
          </cell>
          <cell r="B170">
            <v>45868</v>
          </cell>
          <cell r="C170">
            <v>8</v>
          </cell>
          <cell r="D170">
            <v>16</v>
          </cell>
          <cell r="E170">
            <v>16</v>
          </cell>
          <cell r="F170">
            <v>12</v>
          </cell>
          <cell r="M170">
            <v>100</v>
          </cell>
          <cell r="N170">
            <v>100</v>
          </cell>
          <cell r="O170">
            <v>100</v>
          </cell>
          <cell r="P170">
            <v>100</v>
          </cell>
          <cell r="W170">
            <v>63</v>
          </cell>
          <cell r="X170">
            <v>55</v>
          </cell>
          <cell r="Y170">
            <v>45</v>
          </cell>
          <cell r="Z170">
            <v>33</v>
          </cell>
        </row>
        <row r="171">
          <cell r="A171" t="str">
            <v>SI1625_20250708</v>
          </cell>
          <cell r="B171">
            <v>45867</v>
          </cell>
          <cell r="C171">
            <v>15</v>
          </cell>
          <cell r="D171">
            <v>20</v>
          </cell>
          <cell r="E171">
            <v>20</v>
          </cell>
          <cell r="F171">
            <v>18</v>
          </cell>
          <cell r="M171">
            <v>120</v>
          </cell>
          <cell r="N171">
            <v>120</v>
          </cell>
          <cell r="O171">
            <v>120</v>
          </cell>
          <cell r="P171">
            <v>120</v>
          </cell>
          <cell r="W171">
            <v>80</v>
          </cell>
          <cell r="X171">
            <v>60</v>
          </cell>
          <cell r="Y171">
            <v>45</v>
          </cell>
          <cell r="Z171">
            <v>40</v>
          </cell>
        </row>
        <row r="172">
          <cell r="A172" t="str">
            <v>SI1630_20250708</v>
          </cell>
          <cell r="B172">
            <v>45867</v>
          </cell>
          <cell r="C172">
            <v>12</v>
          </cell>
          <cell r="D172">
            <v>15</v>
          </cell>
          <cell r="E172">
            <v>15</v>
          </cell>
          <cell r="F172">
            <v>12</v>
          </cell>
          <cell r="M172">
            <v>110</v>
          </cell>
          <cell r="N172">
            <v>110</v>
          </cell>
          <cell r="O172">
            <v>110</v>
          </cell>
          <cell r="P172">
            <v>110</v>
          </cell>
          <cell r="W172">
            <v>65</v>
          </cell>
          <cell r="X172">
            <v>55</v>
          </cell>
          <cell r="Y172">
            <v>45</v>
          </cell>
          <cell r="Z172">
            <v>40</v>
          </cell>
        </row>
        <row r="173">
          <cell r="A173" t="str">
            <v>SI1633_20250708</v>
          </cell>
          <cell r="B173">
            <v>45868</v>
          </cell>
          <cell r="C173">
            <v>10</v>
          </cell>
          <cell r="D173">
            <v>20</v>
          </cell>
          <cell r="E173">
            <v>20</v>
          </cell>
          <cell r="F173">
            <v>15</v>
          </cell>
          <cell r="M173">
            <v>110</v>
          </cell>
          <cell r="N173">
            <v>110</v>
          </cell>
          <cell r="O173">
            <v>110</v>
          </cell>
          <cell r="P173">
            <v>110</v>
          </cell>
          <cell r="W173">
            <v>55</v>
          </cell>
          <cell r="X173">
            <v>50</v>
          </cell>
          <cell r="Y173">
            <v>40</v>
          </cell>
          <cell r="Z173">
            <v>35</v>
          </cell>
        </row>
        <row r="174">
          <cell r="A174" t="str">
            <v>SI1627_20250708</v>
          </cell>
          <cell r="B174">
            <v>45867</v>
          </cell>
          <cell r="C174">
            <v>10</v>
          </cell>
          <cell r="D174">
            <v>20</v>
          </cell>
          <cell r="E174">
            <v>20</v>
          </cell>
          <cell r="F174">
            <v>15</v>
          </cell>
          <cell r="M174">
            <v>110</v>
          </cell>
          <cell r="N174">
            <v>110</v>
          </cell>
          <cell r="O174">
            <v>110</v>
          </cell>
          <cell r="P174">
            <v>110</v>
          </cell>
          <cell r="W174">
            <v>65</v>
          </cell>
          <cell r="X174">
            <v>55</v>
          </cell>
          <cell r="Y174">
            <v>43</v>
          </cell>
          <cell r="Z174">
            <v>35</v>
          </cell>
        </row>
        <row r="175">
          <cell r="A175" t="str">
            <v>SI1619_20250708</v>
          </cell>
          <cell r="B175">
            <v>45862</v>
          </cell>
          <cell r="C175">
            <v>6</v>
          </cell>
          <cell r="D175">
            <v>6</v>
          </cell>
          <cell r="E175">
            <v>8</v>
          </cell>
          <cell r="F175">
            <v>8</v>
          </cell>
          <cell r="M175">
            <v>160</v>
          </cell>
          <cell r="N175">
            <v>160</v>
          </cell>
          <cell r="O175">
            <v>160</v>
          </cell>
          <cell r="P175">
            <v>160</v>
          </cell>
          <cell r="W175">
            <v>65</v>
          </cell>
          <cell r="X175">
            <v>50</v>
          </cell>
          <cell r="Y175">
            <v>30</v>
          </cell>
        </row>
        <row r="176">
          <cell r="A176" t="str">
            <v>SI1623_20250708</v>
          </cell>
          <cell r="B176">
            <v>45862</v>
          </cell>
          <cell r="C176">
            <v>8</v>
          </cell>
          <cell r="D176">
            <v>10</v>
          </cell>
          <cell r="E176">
            <v>10</v>
          </cell>
          <cell r="F176">
            <v>8</v>
          </cell>
          <cell r="M176">
            <v>140</v>
          </cell>
          <cell r="N176">
            <v>145</v>
          </cell>
          <cell r="O176">
            <v>145</v>
          </cell>
          <cell r="P176">
            <v>145</v>
          </cell>
          <cell r="W176">
            <v>45</v>
          </cell>
          <cell r="X176">
            <v>35</v>
          </cell>
          <cell r="Y176">
            <v>28</v>
          </cell>
        </row>
        <row r="177">
          <cell r="A177" t="str">
            <v>SI1616_20250708</v>
          </cell>
          <cell r="B177">
            <v>45861</v>
          </cell>
          <cell r="C177">
            <v>35</v>
          </cell>
          <cell r="D177">
            <v>35</v>
          </cell>
          <cell r="E177">
            <v>35</v>
          </cell>
          <cell r="F177">
            <v>25</v>
          </cell>
          <cell r="M177">
            <v>120</v>
          </cell>
          <cell r="N177">
            <v>120</v>
          </cell>
          <cell r="O177">
            <v>120</v>
          </cell>
          <cell r="P177">
            <v>120</v>
          </cell>
          <cell r="W177">
            <v>25</v>
          </cell>
          <cell r="X177">
            <v>18</v>
          </cell>
          <cell r="Y177">
            <v>12</v>
          </cell>
          <cell r="Z177">
            <v>10</v>
          </cell>
        </row>
        <row r="178">
          <cell r="A178" t="str">
            <v>SI1629_20250708</v>
          </cell>
          <cell r="B178">
            <v>45861</v>
          </cell>
          <cell r="C178">
            <v>20</v>
          </cell>
          <cell r="D178">
            <v>30</v>
          </cell>
          <cell r="E178">
            <v>30</v>
          </cell>
          <cell r="F178">
            <v>25</v>
          </cell>
          <cell r="G178">
            <v>20</v>
          </cell>
          <cell r="M178">
            <v>120</v>
          </cell>
          <cell r="N178">
            <v>120</v>
          </cell>
          <cell r="O178">
            <v>120</v>
          </cell>
          <cell r="P178">
            <v>120</v>
          </cell>
          <cell r="Q178">
            <v>120</v>
          </cell>
          <cell r="W178">
            <v>20</v>
          </cell>
          <cell r="X178">
            <v>18</v>
          </cell>
          <cell r="Y178">
            <v>12</v>
          </cell>
          <cell r="Z178">
            <v>10</v>
          </cell>
        </row>
        <row r="179">
          <cell r="A179" t="str">
            <v>SI1634_20250723</v>
          </cell>
          <cell r="B179">
            <v>45861</v>
          </cell>
          <cell r="C179">
            <v>20</v>
          </cell>
          <cell r="D179">
            <v>30</v>
          </cell>
          <cell r="E179">
            <v>30</v>
          </cell>
          <cell r="F179">
            <v>25</v>
          </cell>
          <cell r="G179">
            <v>20</v>
          </cell>
          <cell r="M179">
            <v>120</v>
          </cell>
          <cell r="N179">
            <v>120</v>
          </cell>
          <cell r="O179">
            <v>120</v>
          </cell>
          <cell r="P179">
            <v>120</v>
          </cell>
          <cell r="Q179">
            <v>120</v>
          </cell>
          <cell r="W179">
            <v>20</v>
          </cell>
          <cell r="X179">
            <v>18</v>
          </cell>
          <cell r="Y179">
            <v>12</v>
          </cell>
          <cell r="Z179">
            <v>10</v>
          </cell>
        </row>
        <row r="180">
          <cell r="A180" t="str">
            <v>SI1622_20250708</v>
          </cell>
          <cell r="B180">
            <v>45859</v>
          </cell>
          <cell r="C180">
            <v>12</v>
          </cell>
          <cell r="D180">
            <v>15</v>
          </cell>
          <cell r="E180">
            <v>15</v>
          </cell>
          <cell r="F180">
            <v>12</v>
          </cell>
          <cell r="M180">
            <v>60</v>
          </cell>
          <cell r="N180">
            <v>60</v>
          </cell>
          <cell r="O180">
            <v>60</v>
          </cell>
          <cell r="P180">
            <v>60</v>
          </cell>
          <cell r="W180">
            <v>35</v>
          </cell>
          <cell r="X180">
            <v>32</v>
          </cell>
          <cell r="Y180">
            <v>30</v>
          </cell>
          <cell r="Z180">
            <v>28</v>
          </cell>
        </row>
        <row r="181">
          <cell r="A181" t="str">
            <v>SI1618_20250708</v>
          </cell>
          <cell r="B181">
            <v>45860</v>
          </cell>
          <cell r="C181">
            <v>10</v>
          </cell>
          <cell r="D181">
            <v>25</v>
          </cell>
          <cell r="E181">
            <v>20</v>
          </cell>
          <cell r="F181">
            <v>15</v>
          </cell>
          <cell r="M181">
            <v>70</v>
          </cell>
          <cell r="N181">
            <v>70</v>
          </cell>
          <cell r="O181">
            <v>70</v>
          </cell>
          <cell r="P181">
            <v>70</v>
          </cell>
          <cell r="W181">
            <v>55</v>
          </cell>
          <cell r="X181">
            <v>40</v>
          </cell>
          <cell r="Y181">
            <v>35</v>
          </cell>
          <cell r="Z181">
            <v>32</v>
          </cell>
        </row>
        <row r="182">
          <cell r="A182" t="str">
            <v>SI1620_20250708</v>
          </cell>
          <cell r="B182">
            <v>45859</v>
          </cell>
          <cell r="C182">
            <v>15</v>
          </cell>
          <cell r="D182">
            <v>18</v>
          </cell>
          <cell r="E182">
            <v>18</v>
          </cell>
          <cell r="F182">
            <v>15</v>
          </cell>
          <cell r="M182">
            <v>70</v>
          </cell>
          <cell r="N182">
            <v>70</v>
          </cell>
          <cell r="O182">
            <v>70</v>
          </cell>
          <cell r="P182">
            <v>70</v>
          </cell>
          <cell r="W182">
            <v>60</v>
          </cell>
          <cell r="X182">
            <v>55</v>
          </cell>
          <cell r="Y182">
            <v>45</v>
          </cell>
          <cell r="Z182">
            <v>38</v>
          </cell>
        </row>
        <row r="183">
          <cell r="A183" t="str">
            <v>SI1621_20250708</v>
          </cell>
          <cell r="B183">
            <v>45859</v>
          </cell>
          <cell r="C183">
            <v>20</v>
          </cell>
          <cell r="D183">
            <v>25</v>
          </cell>
          <cell r="E183">
            <v>25</v>
          </cell>
          <cell r="F183">
            <v>20</v>
          </cell>
          <cell r="M183">
            <v>100</v>
          </cell>
          <cell r="N183">
            <v>100</v>
          </cell>
          <cell r="O183">
            <v>100</v>
          </cell>
          <cell r="P183">
            <v>100</v>
          </cell>
          <cell r="W183">
            <v>45</v>
          </cell>
          <cell r="X183">
            <v>40</v>
          </cell>
          <cell r="Y183">
            <v>35</v>
          </cell>
          <cell r="Z183">
            <v>25</v>
          </cell>
        </row>
        <row r="184">
          <cell r="A184" t="str">
            <v>SI1617_20250708</v>
          </cell>
          <cell r="B184">
            <v>45855</v>
          </cell>
          <cell r="C184">
            <v>15</v>
          </cell>
          <cell r="D184">
            <v>35</v>
          </cell>
          <cell r="E184">
            <v>20</v>
          </cell>
          <cell r="M184">
            <v>120</v>
          </cell>
          <cell r="N184">
            <v>120</v>
          </cell>
          <cell r="O184">
            <v>120</v>
          </cell>
          <cell r="W184">
            <v>38</v>
          </cell>
          <cell r="X184">
            <v>30</v>
          </cell>
          <cell r="Y184">
            <v>20</v>
          </cell>
        </row>
        <row r="185">
          <cell r="A185" t="str">
            <v>SI1615_20250708</v>
          </cell>
          <cell r="B185">
            <v>45854</v>
          </cell>
          <cell r="C185">
            <v>15</v>
          </cell>
          <cell r="D185">
            <v>35</v>
          </cell>
          <cell r="E185">
            <v>20</v>
          </cell>
          <cell r="M185">
            <v>140</v>
          </cell>
          <cell r="N185">
            <v>140</v>
          </cell>
          <cell r="O185">
            <v>140</v>
          </cell>
          <cell r="W185">
            <v>38</v>
          </cell>
          <cell r="X185">
            <v>30</v>
          </cell>
          <cell r="Y185">
            <v>29</v>
          </cell>
        </row>
        <row r="186">
          <cell r="A186" t="str">
            <v>SI1609_20250708</v>
          </cell>
          <cell r="B186">
            <v>45854</v>
          </cell>
          <cell r="C186">
            <v>15</v>
          </cell>
          <cell r="D186">
            <v>10</v>
          </cell>
          <cell r="E186">
            <v>30</v>
          </cell>
          <cell r="F186">
            <v>15</v>
          </cell>
          <cell r="M186">
            <v>140</v>
          </cell>
          <cell r="N186">
            <v>140</v>
          </cell>
          <cell r="O186">
            <v>140</v>
          </cell>
          <cell r="P186">
            <v>140</v>
          </cell>
          <cell r="W186">
            <v>50</v>
          </cell>
          <cell r="X186">
            <v>40</v>
          </cell>
          <cell r="Y186">
            <v>25</v>
          </cell>
          <cell r="Z186">
            <v>18</v>
          </cell>
        </row>
        <row r="187">
          <cell r="A187" t="str">
            <v>SI1614_20250708</v>
          </cell>
          <cell r="B187">
            <v>45853</v>
          </cell>
          <cell r="C187">
            <v>10</v>
          </cell>
          <cell r="D187">
            <v>25</v>
          </cell>
          <cell r="E187">
            <v>20</v>
          </cell>
          <cell r="F187">
            <v>15</v>
          </cell>
          <cell r="M187">
            <v>70</v>
          </cell>
          <cell r="N187">
            <v>70</v>
          </cell>
          <cell r="O187">
            <v>70</v>
          </cell>
          <cell r="P187">
            <v>70</v>
          </cell>
          <cell r="W187">
            <v>55</v>
          </cell>
          <cell r="X187">
            <v>40</v>
          </cell>
          <cell r="Y187">
            <v>30</v>
          </cell>
          <cell r="Z187">
            <v>25</v>
          </cell>
        </row>
        <row r="188">
          <cell r="A188" t="str">
            <v>SI1610_20250703</v>
          </cell>
          <cell r="B188">
            <v>45841</v>
          </cell>
          <cell r="C188">
            <v>10</v>
          </cell>
          <cell r="D188">
            <v>20</v>
          </cell>
          <cell r="E188">
            <v>15</v>
          </cell>
          <cell r="M188">
            <v>70</v>
          </cell>
          <cell r="N188">
            <v>70</v>
          </cell>
          <cell r="O188">
            <v>70</v>
          </cell>
          <cell r="W188">
            <v>25</v>
          </cell>
          <cell r="X188">
            <v>20</v>
          </cell>
          <cell r="Y188">
            <v>15</v>
          </cell>
        </row>
        <row r="189">
          <cell r="A189" t="str">
            <v>SI1609_20250703</v>
          </cell>
          <cell r="B189">
            <v>45841</v>
          </cell>
          <cell r="C189">
            <v>20</v>
          </cell>
          <cell r="D189">
            <v>10</v>
          </cell>
          <cell r="E189">
            <v>35</v>
          </cell>
          <cell r="F189">
            <v>20</v>
          </cell>
          <cell r="M189">
            <v>140</v>
          </cell>
          <cell r="N189">
            <v>140</v>
          </cell>
          <cell r="O189">
            <v>140</v>
          </cell>
          <cell r="P189">
            <v>140</v>
          </cell>
          <cell r="W189">
            <v>65</v>
          </cell>
          <cell r="X189">
            <v>55</v>
          </cell>
          <cell r="Y189">
            <v>30</v>
          </cell>
          <cell r="Z189">
            <v>15</v>
          </cell>
        </row>
        <row r="190">
          <cell r="A190" t="str">
            <v>SI1611_20250703</v>
          </cell>
          <cell r="B190">
            <v>45841</v>
          </cell>
          <cell r="C190">
            <v>15</v>
          </cell>
          <cell r="D190">
            <v>25</v>
          </cell>
          <cell r="E190">
            <v>10</v>
          </cell>
          <cell r="G190" t="str">
            <v xml:space="preserve"> </v>
          </cell>
          <cell r="H190" t="str">
            <v xml:space="preserve"> </v>
          </cell>
          <cell r="I190" t="str">
            <v xml:space="preserve"> </v>
          </cell>
          <cell r="M190">
            <v>80</v>
          </cell>
          <cell r="N190">
            <v>80</v>
          </cell>
          <cell r="O190">
            <v>80</v>
          </cell>
          <cell r="W190">
            <v>30</v>
          </cell>
          <cell r="X190">
            <v>20</v>
          </cell>
          <cell r="Y190">
            <v>8</v>
          </cell>
        </row>
        <row r="191">
          <cell r="A191" t="str">
            <v>SI1606_20250630</v>
          </cell>
          <cell r="B191">
            <v>45840</v>
          </cell>
          <cell r="C191">
            <v>15</v>
          </cell>
          <cell r="D191">
            <v>30</v>
          </cell>
          <cell r="E191">
            <v>25</v>
          </cell>
          <cell r="F191">
            <v>15</v>
          </cell>
          <cell r="M191">
            <v>100</v>
          </cell>
          <cell r="N191">
            <v>100</v>
          </cell>
          <cell r="O191">
            <v>100</v>
          </cell>
          <cell r="P191">
            <v>100</v>
          </cell>
          <cell r="W191">
            <v>50</v>
          </cell>
          <cell r="X191">
            <v>40</v>
          </cell>
          <cell r="Y191">
            <v>25</v>
          </cell>
          <cell r="Z191">
            <v>15</v>
          </cell>
        </row>
        <row r="192">
          <cell r="A192" t="str">
            <v>SI1600_20250623</v>
          </cell>
          <cell r="B192">
            <v>45835</v>
          </cell>
          <cell r="C192">
            <v>15</v>
          </cell>
          <cell r="D192">
            <v>25</v>
          </cell>
          <cell r="E192">
            <v>30</v>
          </cell>
          <cell r="F192">
            <v>20</v>
          </cell>
          <cell r="M192">
            <v>1000</v>
          </cell>
          <cell r="N192">
            <v>1000</v>
          </cell>
          <cell r="O192">
            <v>1000</v>
          </cell>
          <cell r="P192">
            <v>1000</v>
          </cell>
          <cell r="W192">
            <v>50</v>
          </cell>
          <cell r="X192">
            <v>40</v>
          </cell>
          <cell r="Y192">
            <v>25</v>
          </cell>
          <cell r="Z192">
            <v>10</v>
          </cell>
        </row>
        <row r="193">
          <cell r="A193" t="str">
            <v>SI1601_20250618</v>
          </cell>
          <cell r="B193">
            <v>45835</v>
          </cell>
          <cell r="C193">
            <v>15</v>
          </cell>
          <cell r="D193">
            <v>30</v>
          </cell>
          <cell r="E193">
            <v>35</v>
          </cell>
          <cell r="F193">
            <v>35</v>
          </cell>
          <cell r="G193">
            <v>25</v>
          </cell>
          <cell r="M193">
            <v>1100</v>
          </cell>
          <cell r="N193">
            <v>1100</v>
          </cell>
          <cell r="O193">
            <v>1100</v>
          </cell>
          <cell r="P193">
            <v>1100</v>
          </cell>
          <cell r="Q193">
            <v>1100</v>
          </cell>
          <cell r="W193">
            <v>140</v>
          </cell>
          <cell r="X193">
            <v>100</v>
          </cell>
          <cell r="Y193">
            <v>70</v>
          </cell>
          <cell r="Z193">
            <v>40</v>
          </cell>
          <cell r="AA193">
            <v>15</v>
          </cell>
        </row>
        <row r="194">
          <cell r="A194" t="str">
            <v>SI1606_20250618</v>
          </cell>
          <cell r="B194">
            <v>45833</v>
          </cell>
          <cell r="C194">
            <v>15</v>
          </cell>
          <cell r="D194">
            <v>30</v>
          </cell>
          <cell r="E194">
            <v>25</v>
          </cell>
          <cell r="F194">
            <v>15</v>
          </cell>
          <cell r="M194">
            <v>1000</v>
          </cell>
          <cell r="N194">
            <v>1000</v>
          </cell>
          <cell r="O194">
            <v>1000</v>
          </cell>
          <cell r="P194">
            <v>1000</v>
          </cell>
          <cell r="W194">
            <v>50</v>
          </cell>
          <cell r="X194">
            <v>40</v>
          </cell>
          <cell r="Y194">
            <v>25</v>
          </cell>
          <cell r="Z194">
            <v>15</v>
          </cell>
        </row>
        <row r="195">
          <cell r="A195" t="str">
            <v>SI1611_20250623</v>
          </cell>
          <cell r="B195">
            <v>45833</v>
          </cell>
          <cell r="C195">
            <v>15</v>
          </cell>
          <cell r="D195">
            <v>20</v>
          </cell>
          <cell r="E195">
            <v>25</v>
          </cell>
          <cell r="F195">
            <v>15</v>
          </cell>
          <cell r="M195">
            <v>60</v>
          </cell>
          <cell r="N195">
            <v>60</v>
          </cell>
          <cell r="O195">
            <v>60</v>
          </cell>
          <cell r="P195">
            <v>60</v>
          </cell>
          <cell r="W195">
            <v>40</v>
          </cell>
          <cell r="X195">
            <v>35</v>
          </cell>
          <cell r="Y195">
            <v>30</v>
          </cell>
          <cell r="Z195">
            <v>22</v>
          </cell>
        </row>
        <row r="196">
          <cell r="A196" t="str">
            <v>SI1609_20250623</v>
          </cell>
          <cell r="B196">
            <v>45832</v>
          </cell>
          <cell r="C196">
            <v>15</v>
          </cell>
          <cell r="D196">
            <v>10</v>
          </cell>
          <cell r="E196">
            <v>35</v>
          </cell>
          <cell r="F196">
            <v>20</v>
          </cell>
          <cell r="M196">
            <v>80</v>
          </cell>
          <cell r="N196">
            <v>80</v>
          </cell>
          <cell r="O196">
            <v>80</v>
          </cell>
          <cell r="P196">
            <v>80</v>
          </cell>
          <cell r="W196">
            <v>55</v>
          </cell>
          <cell r="X196">
            <v>45</v>
          </cell>
          <cell r="Y196">
            <v>25</v>
          </cell>
          <cell r="Z196">
            <v>18</v>
          </cell>
        </row>
        <row r="197">
          <cell r="A197" t="str">
            <v>SI1610_20250623</v>
          </cell>
          <cell r="B197">
            <v>45832</v>
          </cell>
          <cell r="C197">
            <v>15</v>
          </cell>
          <cell r="D197">
            <v>20</v>
          </cell>
          <cell r="E197">
            <v>10</v>
          </cell>
          <cell r="M197">
            <v>70</v>
          </cell>
          <cell r="N197">
            <v>70</v>
          </cell>
          <cell r="O197">
            <v>70</v>
          </cell>
          <cell r="W197">
            <v>25</v>
          </cell>
          <cell r="X197">
            <v>20</v>
          </cell>
          <cell r="Y197">
            <v>15</v>
          </cell>
        </row>
        <row r="198">
          <cell r="A198" t="str">
            <v>SI1600_20250613</v>
          </cell>
          <cell r="B198">
            <v>45821</v>
          </cell>
          <cell r="C198">
            <v>15</v>
          </cell>
          <cell r="D198">
            <v>25</v>
          </cell>
          <cell r="E198">
            <v>30</v>
          </cell>
          <cell r="F198">
            <v>20</v>
          </cell>
          <cell r="M198">
            <v>1000</v>
          </cell>
          <cell r="N198">
            <v>1000</v>
          </cell>
          <cell r="O198">
            <v>1000</v>
          </cell>
          <cell r="P198">
            <v>1000</v>
          </cell>
          <cell r="W198">
            <v>50</v>
          </cell>
          <cell r="X198">
            <v>40</v>
          </cell>
          <cell r="Y198">
            <v>25</v>
          </cell>
          <cell r="Z198">
            <v>10</v>
          </cell>
        </row>
        <row r="199">
          <cell r="A199" t="str">
            <v>SI1606_20250609</v>
          </cell>
          <cell r="B199">
            <v>45821</v>
          </cell>
          <cell r="C199">
            <v>20</v>
          </cell>
          <cell r="D199">
            <v>50</v>
          </cell>
          <cell r="E199">
            <v>30</v>
          </cell>
          <cell r="F199">
            <v>25</v>
          </cell>
          <cell r="G199">
            <v>15</v>
          </cell>
          <cell r="M199">
            <v>100</v>
          </cell>
          <cell r="N199">
            <v>100</v>
          </cell>
          <cell r="O199">
            <v>100</v>
          </cell>
          <cell r="P199">
            <v>100</v>
          </cell>
          <cell r="Q199">
            <v>100</v>
          </cell>
          <cell r="W199">
            <v>100</v>
          </cell>
          <cell r="X199">
            <v>80</v>
          </cell>
          <cell r="Y199">
            <v>40</v>
          </cell>
          <cell r="Z199">
            <v>30</v>
          </cell>
          <cell r="AA199">
            <v>25</v>
          </cell>
        </row>
        <row r="200">
          <cell r="A200" t="str">
            <v>김유미</v>
          </cell>
          <cell r="B200" t="str">
            <v/>
          </cell>
          <cell r="C200">
            <v>2</v>
          </cell>
          <cell r="D200">
            <v>2</v>
          </cell>
          <cell r="E200">
            <v>2</v>
          </cell>
          <cell r="F200">
            <v>2</v>
          </cell>
          <cell r="G200">
            <v>2</v>
          </cell>
        </row>
        <row r="201">
          <cell r="A201" t="str">
            <v>테스트</v>
          </cell>
          <cell r="B201" t="str">
            <v/>
          </cell>
          <cell r="C201">
            <v>1</v>
          </cell>
          <cell r="D201">
            <v>1</v>
          </cell>
          <cell r="E201">
            <v>1</v>
          </cell>
          <cell r="F201">
            <v>1</v>
          </cell>
          <cell r="G201">
            <v>1</v>
          </cell>
          <cell r="H201">
            <v>1</v>
          </cell>
          <cell r="I201">
            <v>1</v>
          </cell>
          <cell r="J201">
            <v>1</v>
          </cell>
          <cell r="K201">
            <v>1</v>
          </cell>
        </row>
        <row r="202">
          <cell r="A202" t="str">
            <v>SI1600_20250606</v>
          </cell>
          <cell r="B202">
            <v>45814</v>
          </cell>
          <cell r="C202">
            <v>15</v>
          </cell>
          <cell r="D202">
            <v>25</v>
          </cell>
          <cell r="E202">
            <v>30</v>
          </cell>
          <cell r="F202">
            <v>20</v>
          </cell>
          <cell r="M202">
            <v>1000</v>
          </cell>
          <cell r="N202">
            <v>1000</v>
          </cell>
          <cell r="O202">
            <v>1000</v>
          </cell>
          <cell r="P202">
            <v>1000</v>
          </cell>
          <cell r="W202">
            <v>50</v>
          </cell>
          <cell r="X202">
            <v>40</v>
          </cell>
          <cell r="Y202">
            <v>25</v>
          </cell>
          <cell r="Z202">
            <v>10</v>
          </cell>
        </row>
        <row r="203">
          <cell r="A203" t="str">
            <v>SI1605_20250522</v>
          </cell>
          <cell r="B203">
            <v>45812</v>
          </cell>
          <cell r="C203">
            <v>20</v>
          </cell>
          <cell r="D203">
            <v>15</v>
          </cell>
          <cell r="E203">
            <v>25</v>
          </cell>
          <cell r="F203">
            <v>20</v>
          </cell>
          <cell r="M203">
            <v>1500</v>
          </cell>
          <cell r="N203">
            <v>1500</v>
          </cell>
          <cell r="O203">
            <v>1500</v>
          </cell>
          <cell r="P203">
            <v>1500</v>
          </cell>
          <cell r="W203">
            <v>95</v>
          </cell>
          <cell r="X203">
            <v>80</v>
          </cell>
          <cell r="Y203">
            <v>60</v>
          </cell>
          <cell r="Z203">
            <v>40</v>
          </cell>
        </row>
        <row r="204">
          <cell r="A204" t="str">
            <v>SI1606_20250522</v>
          </cell>
          <cell r="B204">
            <v>45806</v>
          </cell>
          <cell r="C204">
            <v>15</v>
          </cell>
          <cell r="D204">
            <v>20</v>
          </cell>
          <cell r="E204">
            <v>25</v>
          </cell>
          <cell r="F204">
            <v>15</v>
          </cell>
          <cell r="M204">
            <v>700</v>
          </cell>
          <cell r="N204">
            <v>700</v>
          </cell>
          <cell r="O204">
            <v>700</v>
          </cell>
          <cell r="P204">
            <v>700</v>
          </cell>
          <cell r="W204">
            <v>50</v>
          </cell>
          <cell r="X204">
            <v>40</v>
          </cell>
          <cell r="Y204">
            <v>25</v>
          </cell>
          <cell r="Z204">
            <v>15</v>
          </cell>
        </row>
        <row r="205">
          <cell r="A205" t="str">
            <v>SI1606_20250519</v>
          </cell>
          <cell r="B205">
            <v>45797</v>
          </cell>
          <cell r="C205">
            <v>25</v>
          </cell>
          <cell r="D205">
            <v>30</v>
          </cell>
          <cell r="E205">
            <v>30</v>
          </cell>
          <cell r="F205">
            <v>25</v>
          </cell>
          <cell r="M205">
            <v>1000</v>
          </cell>
          <cell r="N205">
            <v>1000</v>
          </cell>
          <cell r="O205">
            <v>1000</v>
          </cell>
          <cell r="P205">
            <v>1000</v>
          </cell>
          <cell r="W205">
            <v>90</v>
          </cell>
          <cell r="X205">
            <v>70</v>
          </cell>
          <cell r="Y205">
            <v>55</v>
          </cell>
          <cell r="Z205">
            <v>40</v>
          </cell>
        </row>
        <row r="206">
          <cell r="A206" t="str">
            <v>SI1605_20250519</v>
          </cell>
          <cell r="B206">
            <v>45796</v>
          </cell>
          <cell r="C206">
            <v>15</v>
          </cell>
          <cell r="D206">
            <v>22</v>
          </cell>
          <cell r="E206">
            <v>25</v>
          </cell>
          <cell r="F206">
            <v>20</v>
          </cell>
          <cell r="M206">
            <v>1500</v>
          </cell>
          <cell r="N206">
            <v>1500</v>
          </cell>
          <cell r="O206">
            <v>1500</v>
          </cell>
          <cell r="P206">
            <v>1500</v>
          </cell>
          <cell r="W206">
            <v>100</v>
          </cell>
          <cell r="X206">
            <v>80</v>
          </cell>
          <cell r="Y206">
            <v>60</v>
          </cell>
          <cell r="Z206">
            <v>40</v>
          </cell>
        </row>
        <row r="207">
          <cell r="A207" t="str">
            <v>SI1600_20250421</v>
          </cell>
          <cell r="B207" t="str">
            <v/>
          </cell>
          <cell r="C207">
            <v>15</v>
          </cell>
          <cell r="D207">
            <v>25</v>
          </cell>
          <cell r="E207">
            <v>30</v>
          </cell>
          <cell r="F207">
            <v>20</v>
          </cell>
          <cell r="M207">
            <v>70</v>
          </cell>
          <cell r="N207">
            <v>70</v>
          </cell>
          <cell r="O207">
            <v>70</v>
          </cell>
          <cell r="P207">
            <v>70</v>
          </cell>
          <cell r="W207">
            <v>70</v>
          </cell>
          <cell r="X207">
            <v>60</v>
          </cell>
          <cell r="Y207">
            <v>45</v>
          </cell>
          <cell r="Z207">
            <v>30</v>
          </cell>
        </row>
        <row r="208">
          <cell r="A208" t="str">
            <v>SI1600_20250416</v>
          </cell>
          <cell r="B208">
            <v>45768</v>
          </cell>
          <cell r="C208">
            <v>15</v>
          </cell>
          <cell r="D208">
            <v>25</v>
          </cell>
          <cell r="E208">
            <v>30</v>
          </cell>
          <cell r="F208">
            <v>20</v>
          </cell>
          <cell r="M208">
            <v>80</v>
          </cell>
          <cell r="N208">
            <v>80</v>
          </cell>
          <cell r="O208">
            <v>80</v>
          </cell>
          <cell r="P208">
            <v>80</v>
          </cell>
          <cell r="W208">
            <v>70</v>
          </cell>
          <cell r="X208">
            <v>60</v>
          </cell>
          <cell r="Y208">
            <v>45</v>
          </cell>
          <cell r="Z208">
            <v>30</v>
          </cell>
        </row>
        <row r="209">
          <cell r="A209" t="str">
            <v>SI1601_20250417</v>
          </cell>
          <cell r="B209">
            <v>45765</v>
          </cell>
          <cell r="C209">
            <v>15</v>
          </cell>
          <cell r="D209">
            <v>35</v>
          </cell>
          <cell r="E209">
            <v>30</v>
          </cell>
          <cell r="F209">
            <v>20</v>
          </cell>
          <cell r="M209">
            <v>120</v>
          </cell>
          <cell r="N209">
            <v>120</v>
          </cell>
          <cell r="O209">
            <v>120</v>
          </cell>
          <cell r="P209">
            <v>120</v>
          </cell>
          <cell r="W209">
            <v>130</v>
          </cell>
          <cell r="X209">
            <v>100</v>
          </cell>
          <cell r="Y209">
            <v>60</v>
          </cell>
          <cell r="Z209">
            <v>20</v>
          </cell>
        </row>
        <row r="210">
          <cell r="A210" t="str">
            <v>SI1598_20250408</v>
          </cell>
          <cell r="B210">
            <v>45756</v>
          </cell>
          <cell r="C210">
            <v>10</v>
          </cell>
          <cell r="D210">
            <v>15</v>
          </cell>
          <cell r="E210">
            <v>15</v>
          </cell>
          <cell r="F210">
            <v>12</v>
          </cell>
          <cell r="M210">
            <v>100</v>
          </cell>
          <cell r="N210">
            <v>100</v>
          </cell>
          <cell r="O210">
            <v>100</v>
          </cell>
          <cell r="P210">
            <v>100</v>
          </cell>
          <cell r="W210">
            <v>60</v>
          </cell>
          <cell r="X210">
            <v>50</v>
          </cell>
          <cell r="Y210">
            <v>40</v>
          </cell>
          <cell r="Z210">
            <v>30</v>
          </cell>
        </row>
        <row r="211">
          <cell r="A211" t="str">
            <v>SI1601_20250402</v>
          </cell>
          <cell r="B211">
            <v>45751</v>
          </cell>
          <cell r="C211">
            <v>15</v>
          </cell>
          <cell r="D211">
            <v>35</v>
          </cell>
          <cell r="E211">
            <v>30</v>
          </cell>
          <cell r="F211">
            <v>20</v>
          </cell>
          <cell r="M211">
            <v>120</v>
          </cell>
          <cell r="N211">
            <v>120</v>
          </cell>
          <cell r="O211">
            <v>120</v>
          </cell>
          <cell r="P211">
            <v>120</v>
          </cell>
          <cell r="W211">
            <v>130</v>
          </cell>
          <cell r="X211">
            <v>100</v>
          </cell>
          <cell r="Y211">
            <v>60</v>
          </cell>
          <cell r="Z211">
            <v>20</v>
          </cell>
        </row>
        <row r="212">
          <cell r="A212" t="str">
            <v>SI1600_20250402</v>
          </cell>
          <cell r="B212">
            <v>45751</v>
          </cell>
          <cell r="C212">
            <v>15</v>
          </cell>
          <cell r="D212">
            <v>25</v>
          </cell>
          <cell r="E212">
            <v>30</v>
          </cell>
          <cell r="F212">
            <v>20</v>
          </cell>
          <cell r="M212">
            <v>80</v>
          </cell>
          <cell r="N212">
            <v>80</v>
          </cell>
          <cell r="O212">
            <v>80</v>
          </cell>
          <cell r="P212">
            <v>80</v>
          </cell>
          <cell r="W212">
            <v>70</v>
          </cell>
          <cell r="X212">
            <v>60</v>
          </cell>
          <cell r="Y212">
            <v>45</v>
          </cell>
          <cell r="Z212">
            <v>30</v>
          </cell>
        </row>
        <row r="213">
          <cell r="A213" t="str">
            <v>SI1558_20250321</v>
          </cell>
          <cell r="B213">
            <v>45737</v>
          </cell>
          <cell r="C213">
            <v>15</v>
          </cell>
          <cell r="D213">
            <v>20</v>
          </cell>
          <cell r="E213">
            <v>20</v>
          </cell>
          <cell r="F213">
            <v>15</v>
          </cell>
          <cell r="M213">
            <v>75</v>
          </cell>
          <cell r="N213">
            <v>75</v>
          </cell>
          <cell r="O213">
            <v>75</v>
          </cell>
          <cell r="P213">
            <v>75</v>
          </cell>
          <cell r="W213">
            <v>40</v>
          </cell>
          <cell r="X213">
            <v>35</v>
          </cell>
          <cell r="Y213">
            <v>30</v>
          </cell>
          <cell r="Z213">
            <v>26</v>
          </cell>
        </row>
        <row r="214">
          <cell r="A214" t="str">
            <v>SI1560_20250321</v>
          </cell>
          <cell r="B214">
            <v>45737</v>
          </cell>
          <cell r="C214">
            <v>15</v>
          </cell>
          <cell r="D214">
            <v>20</v>
          </cell>
          <cell r="E214">
            <v>20</v>
          </cell>
          <cell r="F214">
            <v>15</v>
          </cell>
          <cell r="M214">
            <v>75</v>
          </cell>
          <cell r="N214">
            <v>75</v>
          </cell>
          <cell r="O214">
            <v>75</v>
          </cell>
          <cell r="P214">
            <v>75</v>
          </cell>
          <cell r="W214">
            <v>50</v>
          </cell>
          <cell r="X214">
            <v>40</v>
          </cell>
          <cell r="Y214">
            <v>35</v>
          </cell>
          <cell r="Z214">
            <v>26</v>
          </cell>
        </row>
        <row r="215">
          <cell r="A215" t="str">
            <v>SI1596_20250318</v>
          </cell>
          <cell r="B215">
            <v>45735</v>
          </cell>
          <cell r="C215">
            <v>15</v>
          </cell>
          <cell r="D215">
            <v>20</v>
          </cell>
          <cell r="E215">
            <v>35</v>
          </cell>
          <cell r="F215">
            <v>30</v>
          </cell>
          <cell r="G215">
            <v>15</v>
          </cell>
          <cell r="M215">
            <v>120</v>
          </cell>
          <cell r="N215">
            <v>120</v>
          </cell>
          <cell r="O215">
            <v>120</v>
          </cell>
          <cell r="P215">
            <v>120</v>
          </cell>
          <cell r="Q215">
            <v>120</v>
          </cell>
          <cell r="W215">
            <v>120</v>
          </cell>
          <cell r="X215">
            <v>110</v>
          </cell>
          <cell r="Y215">
            <v>50</v>
          </cell>
          <cell r="Z215">
            <v>30</v>
          </cell>
          <cell r="AA215">
            <v>15</v>
          </cell>
        </row>
        <row r="216">
          <cell r="A216" t="str">
            <v>SI1597_20250307</v>
          </cell>
          <cell r="B216">
            <v>45723</v>
          </cell>
          <cell r="C216">
            <v>18</v>
          </cell>
          <cell r="D216">
            <v>35</v>
          </cell>
          <cell r="E216">
            <v>35</v>
          </cell>
          <cell r="F216">
            <v>25</v>
          </cell>
          <cell r="M216">
            <v>100</v>
          </cell>
          <cell r="N216">
            <v>100</v>
          </cell>
          <cell r="O216">
            <v>100</v>
          </cell>
          <cell r="P216">
            <v>100</v>
          </cell>
          <cell r="W216">
            <v>80</v>
          </cell>
          <cell r="X216">
            <v>65</v>
          </cell>
          <cell r="Y216">
            <v>45</v>
          </cell>
          <cell r="Z216">
            <v>35</v>
          </cell>
        </row>
        <row r="217">
          <cell r="A217" t="str">
            <v>SI1592_20250204</v>
          </cell>
          <cell r="B217">
            <v>45716</v>
          </cell>
          <cell r="C217">
            <v>30</v>
          </cell>
          <cell r="D217">
            <v>45</v>
          </cell>
          <cell r="E217">
            <v>45</v>
          </cell>
          <cell r="F217">
            <v>30</v>
          </cell>
          <cell r="M217">
            <v>120</v>
          </cell>
          <cell r="N217">
            <v>120</v>
          </cell>
          <cell r="O217">
            <v>120</v>
          </cell>
          <cell r="P217">
            <v>120</v>
          </cell>
          <cell r="W217">
            <v>92</v>
          </cell>
          <cell r="X217">
            <v>65</v>
          </cell>
          <cell r="Y217">
            <v>30</v>
          </cell>
        </row>
        <row r="218">
          <cell r="A218" t="str">
            <v>SI1590_20250204</v>
          </cell>
          <cell r="B218">
            <v>45716</v>
          </cell>
          <cell r="C218">
            <v>25</v>
          </cell>
          <cell r="D218">
            <v>35</v>
          </cell>
          <cell r="E218">
            <v>35</v>
          </cell>
          <cell r="F218">
            <v>20</v>
          </cell>
          <cell r="M218">
            <v>110</v>
          </cell>
          <cell r="N218">
            <v>110</v>
          </cell>
          <cell r="O218">
            <v>110</v>
          </cell>
          <cell r="P218">
            <v>110</v>
          </cell>
          <cell r="W218">
            <v>85</v>
          </cell>
          <cell r="X218">
            <v>55</v>
          </cell>
          <cell r="Y218">
            <v>30</v>
          </cell>
        </row>
        <row r="219">
          <cell r="A219" t="str">
            <v>SI1543_20250227</v>
          </cell>
          <cell r="B219">
            <v>45715</v>
          </cell>
          <cell r="C219">
            <v>20</v>
          </cell>
          <cell r="D219">
            <v>30</v>
          </cell>
          <cell r="E219">
            <v>30</v>
          </cell>
          <cell r="F219">
            <v>20</v>
          </cell>
          <cell r="M219">
            <v>100</v>
          </cell>
          <cell r="N219">
            <v>100</v>
          </cell>
          <cell r="O219">
            <v>100</v>
          </cell>
          <cell r="P219">
            <v>100</v>
          </cell>
          <cell r="W219">
            <v>80</v>
          </cell>
          <cell r="X219">
            <v>60</v>
          </cell>
          <cell r="Y219">
            <v>38</v>
          </cell>
        </row>
        <row r="220">
          <cell r="A220" t="str">
            <v>SI1591_20250224</v>
          </cell>
          <cell r="B220">
            <v>45712</v>
          </cell>
          <cell r="C220">
            <v>10</v>
          </cell>
          <cell r="D220">
            <v>15</v>
          </cell>
          <cell r="E220">
            <v>20</v>
          </cell>
          <cell r="F220">
            <v>10</v>
          </cell>
          <cell r="M220">
            <v>80</v>
          </cell>
          <cell r="N220">
            <v>80</v>
          </cell>
          <cell r="O220">
            <v>80</v>
          </cell>
          <cell r="P220">
            <v>80</v>
          </cell>
          <cell r="W220">
            <v>60</v>
          </cell>
          <cell r="X220">
            <v>55</v>
          </cell>
          <cell r="Y220">
            <v>35</v>
          </cell>
          <cell r="Z220">
            <v>27</v>
          </cell>
        </row>
        <row r="221">
          <cell r="A221" t="str">
            <v>SI1591_20250204</v>
          </cell>
          <cell r="B221">
            <v>45708</v>
          </cell>
          <cell r="C221">
            <v>10</v>
          </cell>
          <cell r="D221">
            <v>15</v>
          </cell>
          <cell r="E221">
            <v>20</v>
          </cell>
          <cell r="F221">
            <v>10</v>
          </cell>
          <cell r="M221">
            <v>80</v>
          </cell>
          <cell r="N221">
            <v>80</v>
          </cell>
          <cell r="O221">
            <v>80</v>
          </cell>
          <cell r="P221">
            <v>80</v>
          </cell>
          <cell r="W221">
            <v>60</v>
          </cell>
          <cell r="X221">
            <v>55</v>
          </cell>
          <cell r="Y221">
            <v>35</v>
          </cell>
          <cell r="Z221">
            <v>27</v>
          </cell>
        </row>
        <row r="222">
          <cell r="A222" t="str">
            <v>SI1596_20250219</v>
          </cell>
          <cell r="B222">
            <v>45707</v>
          </cell>
          <cell r="C222">
            <v>8</v>
          </cell>
          <cell r="D222">
            <v>20</v>
          </cell>
          <cell r="E222">
            <v>35</v>
          </cell>
          <cell r="F222">
            <v>30</v>
          </cell>
          <cell r="G222">
            <v>15</v>
          </cell>
          <cell r="M222">
            <v>120</v>
          </cell>
          <cell r="N222">
            <v>120</v>
          </cell>
          <cell r="O222">
            <v>120</v>
          </cell>
          <cell r="P222">
            <v>120</v>
          </cell>
          <cell r="Q222">
            <v>120</v>
          </cell>
          <cell r="W222">
            <v>120</v>
          </cell>
          <cell r="X222">
            <v>110</v>
          </cell>
          <cell r="Y222">
            <v>50</v>
          </cell>
          <cell r="Z222">
            <v>30</v>
          </cell>
          <cell r="AA222">
            <v>15</v>
          </cell>
        </row>
        <row r="223">
          <cell r="A223" t="str">
            <v>SI1541_20250204</v>
          </cell>
          <cell r="B223">
            <v>45701</v>
          </cell>
          <cell r="C223">
            <v>20</v>
          </cell>
          <cell r="D223">
            <v>15</v>
          </cell>
          <cell r="E223">
            <v>40</v>
          </cell>
          <cell r="F223">
            <v>30</v>
          </cell>
          <cell r="G223">
            <v>20</v>
          </cell>
          <cell r="M223">
            <v>170</v>
          </cell>
          <cell r="N223">
            <v>170</v>
          </cell>
          <cell r="O223">
            <v>170</v>
          </cell>
          <cell r="P223">
            <v>170</v>
          </cell>
          <cell r="Q223">
            <v>170</v>
          </cell>
          <cell r="W223">
            <v>68</v>
          </cell>
          <cell r="X223">
            <v>43</v>
          </cell>
          <cell r="Y223">
            <v>35</v>
          </cell>
          <cell r="Z223">
            <v>20</v>
          </cell>
          <cell r="AA223">
            <v>14</v>
          </cell>
        </row>
        <row r="224">
          <cell r="A224" t="str">
            <v>SI1540_20250204</v>
          </cell>
          <cell r="B224">
            <v>45700</v>
          </cell>
          <cell r="C224">
            <v>20</v>
          </cell>
          <cell r="D224">
            <v>8</v>
          </cell>
          <cell r="E224">
            <v>40</v>
          </cell>
          <cell r="F224">
            <v>35</v>
          </cell>
          <cell r="G224">
            <v>10</v>
          </cell>
          <cell r="M224">
            <v>100</v>
          </cell>
          <cell r="N224">
            <v>100</v>
          </cell>
          <cell r="O224">
            <v>100</v>
          </cell>
          <cell r="P224">
            <v>100</v>
          </cell>
          <cell r="Q224">
            <v>100</v>
          </cell>
          <cell r="W224">
            <v>40</v>
          </cell>
          <cell r="X224">
            <v>35</v>
          </cell>
          <cell r="Y224">
            <v>20</v>
          </cell>
          <cell r="Z224">
            <v>15</v>
          </cell>
          <cell r="AA224">
            <v>8</v>
          </cell>
        </row>
        <row r="225">
          <cell r="A225" t="str">
            <v>SI1542_20250204</v>
          </cell>
          <cell r="B225">
            <v>45699</v>
          </cell>
          <cell r="C225">
            <v>15</v>
          </cell>
          <cell r="D225">
            <v>25</v>
          </cell>
          <cell r="E225">
            <v>25</v>
          </cell>
          <cell r="F225">
            <v>20</v>
          </cell>
          <cell r="M225">
            <v>100</v>
          </cell>
          <cell r="N225">
            <v>100</v>
          </cell>
          <cell r="O225">
            <v>100</v>
          </cell>
          <cell r="P225">
            <v>100</v>
          </cell>
          <cell r="W225">
            <v>80</v>
          </cell>
          <cell r="X225">
            <v>60</v>
          </cell>
          <cell r="Y225">
            <v>38</v>
          </cell>
          <cell r="Z225">
            <v>30</v>
          </cell>
        </row>
        <row r="226">
          <cell r="A226" t="str">
            <v>SI1543_20250204</v>
          </cell>
          <cell r="B226">
            <v>45699</v>
          </cell>
          <cell r="C226">
            <v>20</v>
          </cell>
          <cell r="D226">
            <v>30</v>
          </cell>
          <cell r="E226">
            <v>30</v>
          </cell>
          <cell r="F226">
            <v>20</v>
          </cell>
          <cell r="M226">
            <v>100</v>
          </cell>
          <cell r="N226">
            <v>100</v>
          </cell>
          <cell r="O226">
            <v>100</v>
          </cell>
          <cell r="P226">
            <v>100</v>
          </cell>
          <cell r="W226">
            <v>80</v>
          </cell>
          <cell r="X226">
            <v>60</v>
          </cell>
          <cell r="Y226">
            <v>35</v>
          </cell>
        </row>
        <row r="227">
          <cell r="A227" t="str">
            <v>SI1569_20250114</v>
          </cell>
          <cell r="B227">
            <v>45681</v>
          </cell>
          <cell r="C227">
            <v>10</v>
          </cell>
          <cell r="D227">
            <v>40</v>
          </cell>
          <cell r="E227">
            <v>80</v>
          </cell>
          <cell r="F227">
            <v>10</v>
          </cell>
          <cell r="M227">
            <v>140</v>
          </cell>
          <cell r="N227">
            <v>140</v>
          </cell>
          <cell r="O227">
            <v>140</v>
          </cell>
          <cell r="P227">
            <v>140</v>
          </cell>
          <cell r="W227">
            <v>90</v>
          </cell>
          <cell r="X227">
            <v>80</v>
          </cell>
          <cell r="Y227">
            <v>40</v>
          </cell>
          <cell r="Z227">
            <v>28</v>
          </cell>
        </row>
        <row r="228">
          <cell r="A228" t="str">
            <v>SI1591_20250116</v>
          </cell>
          <cell r="B228">
            <v>45681</v>
          </cell>
          <cell r="C228">
            <v>10</v>
          </cell>
          <cell r="D228">
            <v>15</v>
          </cell>
          <cell r="E228">
            <v>15</v>
          </cell>
          <cell r="F228">
            <v>10</v>
          </cell>
          <cell r="M228">
            <v>80</v>
          </cell>
          <cell r="N228">
            <v>80</v>
          </cell>
          <cell r="O228">
            <v>80</v>
          </cell>
          <cell r="P228">
            <v>80</v>
          </cell>
          <cell r="W228">
            <v>65</v>
          </cell>
          <cell r="X228">
            <v>55</v>
          </cell>
          <cell r="Y228">
            <v>45</v>
          </cell>
          <cell r="Z228">
            <v>40</v>
          </cell>
        </row>
        <row r="229">
          <cell r="A229" t="str">
            <v>SI1592_20250116</v>
          </cell>
          <cell r="B229">
            <v>45679</v>
          </cell>
          <cell r="C229">
            <v>25</v>
          </cell>
          <cell r="D229">
            <v>40</v>
          </cell>
          <cell r="E229">
            <v>40</v>
          </cell>
          <cell r="F229">
            <v>25</v>
          </cell>
          <cell r="M229">
            <v>120</v>
          </cell>
          <cell r="N229">
            <v>120</v>
          </cell>
          <cell r="O229">
            <v>120</v>
          </cell>
          <cell r="P229">
            <v>120</v>
          </cell>
          <cell r="W229">
            <v>92</v>
          </cell>
          <cell r="X229">
            <v>65</v>
          </cell>
          <cell r="Y229">
            <v>30</v>
          </cell>
        </row>
        <row r="230">
          <cell r="A230" t="str">
            <v>SI1590_20250116</v>
          </cell>
          <cell r="B230">
            <v>45679</v>
          </cell>
          <cell r="C230">
            <v>25</v>
          </cell>
          <cell r="D230">
            <v>35</v>
          </cell>
          <cell r="E230">
            <v>35</v>
          </cell>
          <cell r="F230">
            <v>20</v>
          </cell>
          <cell r="M230">
            <v>110</v>
          </cell>
          <cell r="N230">
            <v>110</v>
          </cell>
          <cell r="O230">
            <v>110</v>
          </cell>
          <cell r="P230">
            <v>110</v>
          </cell>
          <cell r="W230">
            <v>85</v>
          </cell>
          <cell r="X230">
            <v>55</v>
          </cell>
          <cell r="Y230">
            <v>30</v>
          </cell>
        </row>
        <row r="231">
          <cell r="A231" t="str">
            <v>SI1558_20250120</v>
          </cell>
          <cell r="B231">
            <v>45677</v>
          </cell>
          <cell r="C231">
            <v>20</v>
          </cell>
          <cell r="D231">
            <v>25</v>
          </cell>
          <cell r="E231">
            <v>20</v>
          </cell>
          <cell r="F231">
            <v>15</v>
          </cell>
          <cell r="G231">
            <v>10</v>
          </cell>
          <cell r="M231">
            <v>80</v>
          </cell>
          <cell r="N231">
            <v>80</v>
          </cell>
          <cell r="O231">
            <v>80</v>
          </cell>
          <cell r="P231">
            <v>80</v>
          </cell>
          <cell r="Q231">
            <v>80</v>
          </cell>
          <cell r="W231">
            <v>50</v>
          </cell>
          <cell r="X231">
            <v>40</v>
          </cell>
          <cell r="Y231">
            <v>35</v>
          </cell>
          <cell r="Z231">
            <v>30</v>
          </cell>
        </row>
        <row r="232">
          <cell r="A232" t="str">
            <v>SI1560_20250120</v>
          </cell>
          <cell r="B232">
            <v>45677</v>
          </cell>
          <cell r="C232">
            <v>23</v>
          </cell>
          <cell r="D232">
            <v>25</v>
          </cell>
          <cell r="E232">
            <v>25</v>
          </cell>
          <cell r="F232">
            <v>20</v>
          </cell>
          <cell r="G232">
            <v>10</v>
          </cell>
          <cell r="M232">
            <v>80</v>
          </cell>
          <cell r="N232">
            <v>80</v>
          </cell>
          <cell r="O232">
            <v>80</v>
          </cell>
          <cell r="P232">
            <v>80</v>
          </cell>
          <cell r="Q232">
            <v>80</v>
          </cell>
          <cell r="W232">
            <v>50</v>
          </cell>
          <cell r="X232">
            <v>40</v>
          </cell>
          <cell r="Y232">
            <v>33</v>
          </cell>
          <cell r="Z232">
            <v>28</v>
          </cell>
        </row>
        <row r="233">
          <cell r="A233" t="str">
            <v>SI1560_20250120</v>
          </cell>
          <cell r="B233">
            <v>45677</v>
          </cell>
          <cell r="C233">
            <v>23</v>
          </cell>
          <cell r="D233">
            <v>25</v>
          </cell>
          <cell r="E233">
            <v>25</v>
          </cell>
          <cell r="F233">
            <v>20</v>
          </cell>
          <cell r="G233">
            <v>10</v>
          </cell>
          <cell r="M233">
            <v>80</v>
          </cell>
          <cell r="N233">
            <v>80</v>
          </cell>
          <cell r="O233">
            <v>80</v>
          </cell>
          <cell r="P233">
            <v>80</v>
          </cell>
          <cell r="Q233">
            <v>80</v>
          </cell>
          <cell r="W233">
            <v>50</v>
          </cell>
          <cell r="X233">
            <v>40</v>
          </cell>
          <cell r="Y233">
            <v>33</v>
          </cell>
          <cell r="Z233">
            <v>28</v>
          </cell>
        </row>
        <row r="234">
          <cell r="A234" t="str">
            <v>SI1560_20250120</v>
          </cell>
          <cell r="B234">
            <v>45677</v>
          </cell>
          <cell r="C234">
            <v>23</v>
          </cell>
          <cell r="D234">
            <v>25</v>
          </cell>
          <cell r="E234">
            <v>25</v>
          </cell>
          <cell r="F234">
            <v>20</v>
          </cell>
          <cell r="G234">
            <v>10</v>
          </cell>
          <cell r="M234">
            <v>80</v>
          </cell>
          <cell r="N234">
            <v>80</v>
          </cell>
          <cell r="O234">
            <v>80</v>
          </cell>
          <cell r="P234">
            <v>80</v>
          </cell>
          <cell r="Q234">
            <v>80</v>
          </cell>
          <cell r="W234">
            <v>50</v>
          </cell>
          <cell r="X234">
            <v>40</v>
          </cell>
          <cell r="Y234">
            <v>33</v>
          </cell>
          <cell r="Z234">
            <v>28</v>
          </cell>
        </row>
        <row r="235">
          <cell r="A235" t="str">
            <v>SI1557_20250116</v>
          </cell>
          <cell r="B235">
            <v>45677</v>
          </cell>
          <cell r="C235">
            <v>15</v>
          </cell>
          <cell r="D235">
            <v>30</v>
          </cell>
          <cell r="E235">
            <v>30</v>
          </cell>
          <cell r="F235">
            <v>22</v>
          </cell>
          <cell r="M235">
            <v>100</v>
          </cell>
          <cell r="N235">
            <v>100</v>
          </cell>
          <cell r="O235">
            <v>100</v>
          </cell>
          <cell r="P235">
            <v>100</v>
          </cell>
          <cell r="W235">
            <v>80</v>
          </cell>
          <cell r="X235">
            <v>65</v>
          </cell>
          <cell r="Y235">
            <v>40</v>
          </cell>
          <cell r="Z235">
            <v>25</v>
          </cell>
        </row>
        <row r="236">
          <cell r="A236" t="str">
            <v>SI1538_20241008</v>
          </cell>
          <cell r="B236">
            <v>45579</v>
          </cell>
          <cell r="C236">
            <v>10</v>
          </cell>
          <cell r="D236">
            <v>20</v>
          </cell>
          <cell r="E236">
            <v>15</v>
          </cell>
          <cell r="M236">
            <v>100</v>
          </cell>
          <cell r="N236">
            <v>100</v>
          </cell>
          <cell r="O236">
            <v>100</v>
          </cell>
          <cell r="W236">
            <v>50</v>
          </cell>
          <cell r="X236">
            <v>35</v>
          </cell>
          <cell r="Y236">
            <v>25</v>
          </cell>
        </row>
        <row r="237">
          <cell r="A237" t="str">
            <v>SI1543_20241014</v>
          </cell>
          <cell r="B237">
            <v>45581</v>
          </cell>
          <cell r="C237">
            <v>12</v>
          </cell>
          <cell r="D237">
            <v>20</v>
          </cell>
          <cell r="E237">
            <v>25</v>
          </cell>
          <cell r="F237">
            <v>25</v>
          </cell>
          <cell r="G237">
            <v>20</v>
          </cell>
          <cell r="H237">
            <v>15</v>
          </cell>
          <cell r="M237">
            <v>80</v>
          </cell>
          <cell r="N237">
            <v>80</v>
          </cell>
          <cell r="O237">
            <v>80</v>
          </cell>
          <cell r="P237">
            <v>80</v>
          </cell>
          <cell r="Q237">
            <v>80</v>
          </cell>
          <cell r="R237">
            <v>80</v>
          </cell>
          <cell r="W237">
            <v>130</v>
          </cell>
          <cell r="X237">
            <v>110</v>
          </cell>
          <cell r="Y237">
            <v>85</v>
          </cell>
          <cell r="Z237">
            <v>65</v>
          </cell>
          <cell r="AA237">
            <v>45</v>
          </cell>
        </row>
        <row r="238">
          <cell r="A238" t="str">
            <v>SI1541_20241014</v>
          </cell>
          <cell r="B238">
            <v>45581</v>
          </cell>
          <cell r="C238">
            <v>10</v>
          </cell>
          <cell r="D238">
            <v>8</v>
          </cell>
          <cell r="E238">
            <v>20</v>
          </cell>
          <cell r="F238">
            <v>25</v>
          </cell>
          <cell r="G238">
            <v>20</v>
          </cell>
          <cell r="M238">
            <v>140</v>
          </cell>
          <cell r="N238">
            <v>140</v>
          </cell>
          <cell r="O238">
            <v>140</v>
          </cell>
          <cell r="P238">
            <v>140</v>
          </cell>
          <cell r="Q238">
            <v>140</v>
          </cell>
          <cell r="W238">
            <v>90</v>
          </cell>
          <cell r="X238">
            <v>85</v>
          </cell>
          <cell r="Y238">
            <v>55</v>
          </cell>
          <cell r="Z238">
            <v>30</v>
          </cell>
        </row>
        <row r="239">
          <cell r="A239" t="str">
            <v>SI1540_20241014</v>
          </cell>
          <cell r="B239">
            <v>45582</v>
          </cell>
        </row>
        <row r="240">
          <cell r="A240" t="str">
            <v>SI0992_20241014</v>
          </cell>
          <cell r="B240">
            <v>45583</v>
          </cell>
          <cell r="C240">
            <v>10</v>
          </cell>
          <cell r="D240">
            <v>25</v>
          </cell>
          <cell r="E240">
            <v>30</v>
          </cell>
          <cell r="F240">
            <v>15</v>
          </cell>
          <cell r="M240">
            <v>80</v>
          </cell>
          <cell r="N240">
            <v>80</v>
          </cell>
          <cell r="O240">
            <v>80</v>
          </cell>
          <cell r="P240">
            <v>80</v>
          </cell>
          <cell r="W240">
            <v>80</v>
          </cell>
          <cell r="X240">
            <v>60</v>
          </cell>
          <cell r="Y240">
            <v>40</v>
          </cell>
        </row>
        <row r="241">
          <cell r="A241" t="str">
            <v>SI0993_20241014</v>
          </cell>
          <cell r="B241">
            <v>45583</v>
          </cell>
          <cell r="C241">
            <v>10</v>
          </cell>
          <cell r="D241">
            <v>20</v>
          </cell>
          <cell r="E241">
            <v>25</v>
          </cell>
          <cell r="F241">
            <v>15</v>
          </cell>
          <cell r="M241">
            <v>80</v>
          </cell>
          <cell r="N241">
            <v>80</v>
          </cell>
          <cell r="O241">
            <v>80</v>
          </cell>
          <cell r="P241">
            <v>80</v>
          </cell>
          <cell r="W241">
            <v>90</v>
          </cell>
          <cell r="X241">
            <v>60</v>
          </cell>
          <cell r="Y241">
            <v>40</v>
          </cell>
        </row>
        <row r="242">
          <cell r="A242" t="str">
            <v>SI0994_20241014</v>
          </cell>
          <cell r="B242">
            <v>45584</v>
          </cell>
          <cell r="C242">
            <v>10</v>
          </cell>
          <cell r="D242">
            <v>30</v>
          </cell>
          <cell r="E242">
            <v>25</v>
          </cell>
          <cell r="F242">
            <v>20</v>
          </cell>
          <cell r="G242">
            <v>15</v>
          </cell>
          <cell r="M242">
            <v>80</v>
          </cell>
          <cell r="N242">
            <v>80</v>
          </cell>
          <cell r="O242">
            <v>80</v>
          </cell>
          <cell r="P242">
            <v>80</v>
          </cell>
          <cell r="Q242">
            <v>80</v>
          </cell>
          <cell r="W242">
            <v>105</v>
          </cell>
          <cell r="X242">
            <v>70</v>
          </cell>
          <cell r="Y242">
            <v>50</v>
          </cell>
          <cell r="Z242">
            <v>35</v>
          </cell>
          <cell r="AA242">
            <v>30</v>
          </cell>
        </row>
        <row r="243">
          <cell r="A243" t="str">
            <v>SI1539_20241017</v>
          </cell>
          <cell r="B243">
            <v>45587</v>
          </cell>
          <cell r="C243">
            <v>40</v>
          </cell>
          <cell r="D243">
            <v>40</v>
          </cell>
          <cell r="E243">
            <v>31</v>
          </cell>
          <cell r="M243">
            <v>42</v>
          </cell>
          <cell r="N243">
            <v>42</v>
          </cell>
          <cell r="O243">
            <v>35</v>
          </cell>
          <cell r="W243">
            <v>50</v>
          </cell>
          <cell r="X243">
            <v>43</v>
          </cell>
          <cell r="Y243">
            <v>50</v>
          </cell>
        </row>
        <row r="244">
          <cell r="A244" t="str">
            <v>SI1553_20241017</v>
          </cell>
          <cell r="B244">
            <v>45587</v>
          </cell>
          <cell r="C244">
            <v>40</v>
          </cell>
          <cell r="D244">
            <v>40</v>
          </cell>
          <cell r="E244">
            <v>31</v>
          </cell>
          <cell r="M244">
            <v>42</v>
          </cell>
          <cell r="N244">
            <v>42</v>
          </cell>
          <cell r="O244">
            <v>34</v>
          </cell>
          <cell r="W244">
            <v>65</v>
          </cell>
          <cell r="X244">
            <v>50</v>
          </cell>
          <cell r="Y244">
            <v>65</v>
          </cell>
        </row>
        <row r="245">
          <cell r="A245" t="str">
            <v>SI1538_20241017</v>
          </cell>
          <cell r="B245">
            <v>45588</v>
          </cell>
          <cell r="C245">
            <v>12</v>
          </cell>
          <cell r="D245">
            <v>30</v>
          </cell>
          <cell r="E245">
            <v>30</v>
          </cell>
          <cell r="F245">
            <v>30</v>
          </cell>
          <cell r="G245">
            <v>25</v>
          </cell>
          <cell r="M245">
            <v>85</v>
          </cell>
          <cell r="N245">
            <v>85</v>
          </cell>
          <cell r="O245">
            <v>85</v>
          </cell>
          <cell r="P245">
            <v>85</v>
          </cell>
          <cell r="Q245">
            <v>85</v>
          </cell>
          <cell r="W245">
            <v>85</v>
          </cell>
          <cell r="X245">
            <v>65</v>
          </cell>
          <cell r="Y245">
            <v>55</v>
          </cell>
          <cell r="Z245">
            <v>46</v>
          </cell>
        </row>
        <row r="246">
          <cell r="A246" t="str">
            <v>SI1554_20241017-1</v>
          </cell>
          <cell r="B246">
            <v>45588</v>
          </cell>
          <cell r="C246">
            <v>10</v>
          </cell>
          <cell r="D246">
            <v>20</v>
          </cell>
          <cell r="E246">
            <v>20</v>
          </cell>
          <cell r="F246">
            <v>20</v>
          </cell>
          <cell r="G246">
            <v>15</v>
          </cell>
          <cell r="M246">
            <v>85</v>
          </cell>
          <cell r="N246">
            <v>85</v>
          </cell>
          <cell r="O246">
            <v>85</v>
          </cell>
          <cell r="P246">
            <v>85</v>
          </cell>
          <cell r="Q246">
            <v>85</v>
          </cell>
          <cell r="W246">
            <v>50</v>
          </cell>
          <cell r="X246">
            <v>45</v>
          </cell>
          <cell r="Y246">
            <v>40</v>
          </cell>
          <cell r="Z246">
            <v>35</v>
          </cell>
        </row>
        <row r="247">
          <cell r="A247" t="str">
            <v>SI1554_20241017-2</v>
          </cell>
          <cell r="B247">
            <v>45588</v>
          </cell>
          <cell r="C247">
            <v>10</v>
          </cell>
          <cell r="D247">
            <v>20</v>
          </cell>
          <cell r="E247">
            <v>20</v>
          </cell>
          <cell r="F247">
            <v>20</v>
          </cell>
          <cell r="G247">
            <v>15</v>
          </cell>
          <cell r="M247">
            <v>85</v>
          </cell>
          <cell r="N247">
            <v>85</v>
          </cell>
          <cell r="O247">
            <v>85</v>
          </cell>
          <cell r="P247">
            <v>85</v>
          </cell>
          <cell r="Q247">
            <v>85</v>
          </cell>
          <cell r="W247">
            <v>50</v>
          </cell>
          <cell r="X247">
            <v>45</v>
          </cell>
          <cell r="Y247">
            <v>40</v>
          </cell>
          <cell r="Z247">
            <v>35</v>
          </cell>
        </row>
        <row r="248">
          <cell r="A248" t="str">
            <v>SI1554_20241017</v>
          </cell>
          <cell r="B248">
            <v>45588</v>
          </cell>
          <cell r="C248">
            <v>10</v>
          </cell>
          <cell r="D248">
            <v>20</v>
          </cell>
          <cell r="E248">
            <v>20</v>
          </cell>
          <cell r="F248">
            <v>20</v>
          </cell>
          <cell r="G248">
            <v>15</v>
          </cell>
          <cell r="M248">
            <v>85</v>
          </cell>
          <cell r="N248">
            <v>85</v>
          </cell>
          <cell r="O248">
            <v>85</v>
          </cell>
          <cell r="P248">
            <v>85</v>
          </cell>
          <cell r="Q248">
            <v>85</v>
          </cell>
          <cell r="W248">
            <v>50</v>
          </cell>
          <cell r="X248">
            <v>45</v>
          </cell>
          <cell r="Y248">
            <v>40</v>
          </cell>
          <cell r="Z248">
            <v>35</v>
          </cell>
        </row>
        <row r="249">
          <cell r="A249" t="str">
            <v>SI1537_20241017</v>
          </cell>
          <cell r="B249">
            <v>45588</v>
          </cell>
          <cell r="C249">
            <v>10</v>
          </cell>
          <cell r="D249">
            <v>20</v>
          </cell>
          <cell r="E249">
            <v>20</v>
          </cell>
          <cell r="F249">
            <v>20</v>
          </cell>
          <cell r="G249">
            <v>15</v>
          </cell>
          <cell r="M249">
            <v>85</v>
          </cell>
          <cell r="N249">
            <v>85</v>
          </cell>
          <cell r="O249">
            <v>85</v>
          </cell>
          <cell r="P249">
            <v>85</v>
          </cell>
          <cell r="Q249">
            <v>85</v>
          </cell>
          <cell r="W249">
            <v>45</v>
          </cell>
          <cell r="X249">
            <v>40</v>
          </cell>
          <cell r="Y249">
            <v>38</v>
          </cell>
          <cell r="Z249">
            <v>35</v>
          </cell>
        </row>
        <row r="250">
          <cell r="A250" t="str">
            <v>SI1544_20241017</v>
          </cell>
          <cell r="B250">
            <v>45594</v>
          </cell>
          <cell r="C250">
            <v>8</v>
          </cell>
          <cell r="D250">
            <v>10</v>
          </cell>
          <cell r="E250">
            <v>10</v>
          </cell>
          <cell r="F250">
            <v>8</v>
          </cell>
          <cell r="M250">
            <v>70</v>
          </cell>
          <cell r="N250">
            <v>70</v>
          </cell>
          <cell r="O250">
            <v>70</v>
          </cell>
          <cell r="P250">
            <v>70</v>
          </cell>
          <cell r="W250">
            <v>35</v>
          </cell>
          <cell r="X250">
            <v>30</v>
          </cell>
          <cell r="Y250">
            <v>25</v>
          </cell>
          <cell r="Z250">
            <v>22</v>
          </cell>
        </row>
        <row r="251">
          <cell r="A251" t="str">
            <v>SI1545_20241017</v>
          </cell>
          <cell r="B251">
            <v>45594</v>
          </cell>
          <cell r="C251">
            <v>8</v>
          </cell>
          <cell r="D251">
            <v>10</v>
          </cell>
          <cell r="E251">
            <v>10</v>
          </cell>
          <cell r="F251">
            <v>8</v>
          </cell>
          <cell r="M251">
            <v>70</v>
          </cell>
          <cell r="N251">
            <v>70</v>
          </cell>
          <cell r="O251">
            <v>70</v>
          </cell>
          <cell r="P251">
            <v>70</v>
          </cell>
          <cell r="W251">
            <v>35</v>
          </cell>
          <cell r="X251">
            <v>30</v>
          </cell>
          <cell r="Y251">
            <v>28</v>
          </cell>
          <cell r="Z251">
            <v>25</v>
          </cell>
        </row>
        <row r="252">
          <cell r="A252" t="str">
            <v>SI1522_20241028</v>
          </cell>
          <cell r="B252">
            <v>45594</v>
          </cell>
          <cell r="C252">
            <v>15</v>
          </cell>
          <cell r="D252">
            <v>25</v>
          </cell>
          <cell r="E252">
            <v>25</v>
          </cell>
          <cell r="F252">
            <v>15</v>
          </cell>
          <cell r="M252">
            <v>70</v>
          </cell>
          <cell r="N252">
            <v>70</v>
          </cell>
          <cell r="O252">
            <v>70</v>
          </cell>
          <cell r="P252">
            <v>70</v>
          </cell>
          <cell r="W252">
            <v>50</v>
          </cell>
          <cell r="X252">
            <v>30</v>
          </cell>
          <cell r="Y252">
            <v>25</v>
          </cell>
          <cell r="Z252">
            <v>16</v>
          </cell>
        </row>
        <row r="253">
          <cell r="A253" t="str">
            <v>SI1518_20241028</v>
          </cell>
          <cell r="B253">
            <v>45594</v>
          </cell>
          <cell r="C253">
            <v>15</v>
          </cell>
          <cell r="D253">
            <v>30</v>
          </cell>
          <cell r="E253">
            <v>15</v>
          </cell>
          <cell r="F253">
            <v>30</v>
          </cell>
          <cell r="M253">
            <v>140</v>
          </cell>
          <cell r="N253">
            <v>140</v>
          </cell>
          <cell r="O253">
            <v>140</v>
          </cell>
          <cell r="P253">
            <v>140</v>
          </cell>
          <cell r="W253">
            <v>90</v>
          </cell>
          <cell r="X253">
            <v>60</v>
          </cell>
          <cell r="Y253">
            <v>40</v>
          </cell>
          <cell r="Z253">
            <v>10</v>
          </cell>
        </row>
        <row r="254">
          <cell r="A254" t="str">
            <v>SI1520_20241028</v>
          </cell>
          <cell r="B254">
            <v>45594</v>
          </cell>
          <cell r="C254">
            <v>10</v>
          </cell>
          <cell r="D254">
            <v>8</v>
          </cell>
          <cell r="E254">
            <v>25</v>
          </cell>
          <cell r="F254">
            <v>20</v>
          </cell>
          <cell r="M254">
            <v>120</v>
          </cell>
          <cell r="N254">
            <v>120</v>
          </cell>
          <cell r="O254">
            <v>120</v>
          </cell>
          <cell r="P254">
            <v>120</v>
          </cell>
          <cell r="W254">
            <v>75</v>
          </cell>
          <cell r="X254">
            <v>60</v>
          </cell>
          <cell r="Y254">
            <v>35</v>
          </cell>
          <cell r="Z254">
            <v>22</v>
          </cell>
        </row>
        <row r="255">
          <cell r="A255" t="str">
            <v>SI1516_20241028</v>
          </cell>
          <cell r="B255">
            <v>45594</v>
          </cell>
          <cell r="C255">
            <v>15</v>
          </cell>
          <cell r="D255">
            <v>30</v>
          </cell>
          <cell r="E255">
            <v>15</v>
          </cell>
          <cell r="F255">
            <v>25</v>
          </cell>
          <cell r="M255">
            <v>90</v>
          </cell>
          <cell r="N255">
            <v>60</v>
          </cell>
          <cell r="O255">
            <v>40</v>
          </cell>
          <cell r="P255">
            <v>30</v>
          </cell>
          <cell r="W255">
            <v>130</v>
          </cell>
          <cell r="X255">
            <v>130</v>
          </cell>
          <cell r="Y255">
            <v>130</v>
          </cell>
          <cell r="Z255">
            <v>130</v>
          </cell>
        </row>
        <row r="256">
          <cell r="A256" t="str">
            <v>SI1542_20241029</v>
          </cell>
          <cell r="B256">
            <v>45596</v>
          </cell>
          <cell r="C256">
            <v>15</v>
          </cell>
          <cell r="D256">
            <v>35</v>
          </cell>
          <cell r="E256">
            <v>30</v>
          </cell>
          <cell r="F256">
            <v>25</v>
          </cell>
          <cell r="G256">
            <v>20</v>
          </cell>
          <cell r="M256">
            <v>70</v>
          </cell>
          <cell r="N256">
            <v>70</v>
          </cell>
          <cell r="O256">
            <v>70</v>
          </cell>
          <cell r="P256">
            <v>70</v>
          </cell>
          <cell r="Q256">
            <v>70</v>
          </cell>
          <cell r="W256">
            <v>100</v>
          </cell>
          <cell r="X256">
            <v>80</v>
          </cell>
          <cell r="Y256">
            <v>60</v>
          </cell>
          <cell r="Z256">
            <v>40</v>
          </cell>
          <cell r="AA256">
            <v>30</v>
          </cell>
        </row>
        <row r="257">
          <cell r="A257" t="str">
            <v>SI1540_20241029</v>
          </cell>
          <cell r="B257">
            <v>45596</v>
          </cell>
          <cell r="C257">
            <v>15</v>
          </cell>
          <cell r="D257">
            <v>5</v>
          </cell>
          <cell r="E257">
            <v>30</v>
          </cell>
          <cell r="F257">
            <v>35</v>
          </cell>
          <cell r="G257">
            <v>30</v>
          </cell>
          <cell r="M257">
            <v>140</v>
          </cell>
          <cell r="N257">
            <v>140</v>
          </cell>
          <cell r="O257">
            <v>140</v>
          </cell>
          <cell r="P257">
            <v>140</v>
          </cell>
          <cell r="Q257">
            <v>140</v>
          </cell>
          <cell r="W257">
            <v>40</v>
          </cell>
          <cell r="X257">
            <v>35</v>
          </cell>
          <cell r="Y257">
            <v>25</v>
          </cell>
          <cell r="Z257">
            <v>20</v>
          </cell>
          <cell r="AA257">
            <v>10</v>
          </cell>
        </row>
        <row r="258">
          <cell r="A258" t="str">
            <v>SI1541_20241029</v>
          </cell>
          <cell r="B258">
            <v>45597</v>
          </cell>
          <cell r="C258">
            <v>10</v>
          </cell>
          <cell r="D258">
            <v>25</v>
          </cell>
          <cell r="E258">
            <v>15</v>
          </cell>
          <cell r="F258">
            <v>25</v>
          </cell>
          <cell r="M258">
            <v>140</v>
          </cell>
          <cell r="N258">
            <v>140</v>
          </cell>
          <cell r="O258">
            <v>140</v>
          </cell>
          <cell r="P258">
            <v>140</v>
          </cell>
          <cell r="W258">
            <v>80</v>
          </cell>
          <cell r="X258">
            <v>55</v>
          </cell>
          <cell r="Y258">
            <v>45</v>
          </cell>
        </row>
        <row r="259">
          <cell r="A259" t="str">
            <v>SI1557_20241026</v>
          </cell>
          <cell r="B259">
            <v>45597</v>
          </cell>
          <cell r="C259">
            <v>15</v>
          </cell>
          <cell r="D259">
            <v>23</v>
          </cell>
          <cell r="E259">
            <v>23</v>
          </cell>
          <cell r="F259">
            <v>13</v>
          </cell>
          <cell r="M259">
            <v>90</v>
          </cell>
          <cell r="N259">
            <v>90</v>
          </cell>
          <cell r="O259">
            <v>90</v>
          </cell>
          <cell r="P259">
            <v>80</v>
          </cell>
          <cell r="W259">
            <v>80</v>
          </cell>
          <cell r="X259">
            <v>65</v>
          </cell>
          <cell r="Y259">
            <v>52</v>
          </cell>
          <cell r="Z259">
            <v>40</v>
          </cell>
        </row>
        <row r="260">
          <cell r="A260" t="str">
            <v>SI1559_20241026</v>
          </cell>
          <cell r="B260">
            <v>45597</v>
          </cell>
          <cell r="C260">
            <v>15</v>
          </cell>
          <cell r="D260">
            <v>23</v>
          </cell>
          <cell r="E260">
            <v>23</v>
          </cell>
          <cell r="F260">
            <v>13</v>
          </cell>
          <cell r="M260">
            <v>90</v>
          </cell>
          <cell r="N260">
            <v>90</v>
          </cell>
          <cell r="O260">
            <v>90</v>
          </cell>
          <cell r="P260">
            <v>80</v>
          </cell>
          <cell r="W260">
            <v>100</v>
          </cell>
          <cell r="X260">
            <v>65</v>
          </cell>
          <cell r="Y260">
            <v>52</v>
          </cell>
          <cell r="Z260">
            <v>35</v>
          </cell>
        </row>
        <row r="261">
          <cell r="A261" t="str">
            <v>SI1542_20241014</v>
          </cell>
          <cell r="B261">
            <v>45584</v>
          </cell>
          <cell r="C261">
            <v>15</v>
          </cell>
          <cell r="D261">
            <v>30</v>
          </cell>
          <cell r="E261">
            <v>25</v>
          </cell>
          <cell r="F261">
            <v>25</v>
          </cell>
          <cell r="G261">
            <v>20</v>
          </cell>
          <cell r="M261">
            <v>70</v>
          </cell>
          <cell r="N261">
            <v>70</v>
          </cell>
          <cell r="O261">
            <v>70</v>
          </cell>
          <cell r="P261">
            <v>70</v>
          </cell>
          <cell r="Q261">
            <v>70</v>
          </cell>
          <cell r="W261">
            <v>90</v>
          </cell>
          <cell r="X261">
            <v>80</v>
          </cell>
          <cell r="Y261">
            <v>50</v>
          </cell>
          <cell r="Z261">
            <v>40</v>
          </cell>
          <cell r="AA261">
            <v>35</v>
          </cell>
        </row>
        <row r="262">
          <cell r="A262" t="str">
            <v>SI1560_20241026</v>
          </cell>
          <cell r="B262">
            <v>45601</v>
          </cell>
          <cell r="C262">
            <v>10</v>
          </cell>
          <cell r="D262">
            <v>25</v>
          </cell>
          <cell r="E262">
            <v>25</v>
          </cell>
          <cell r="F262">
            <v>20</v>
          </cell>
          <cell r="M262">
            <v>70</v>
          </cell>
          <cell r="N262">
            <v>70</v>
          </cell>
          <cell r="O262">
            <v>70</v>
          </cell>
          <cell r="P262">
            <v>70</v>
          </cell>
          <cell r="W262">
            <v>50</v>
          </cell>
          <cell r="X262">
            <v>40</v>
          </cell>
          <cell r="Y262">
            <v>25</v>
          </cell>
        </row>
        <row r="263">
          <cell r="A263" t="str">
            <v>SI1558_20241026</v>
          </cell>
          <cell r="B263">
            <v>45601</v>
          </cell>
          <cell r="C263">
            <v>10</v>
          </cell>
          <cell r="D263">
            <v>25</v>
          </cell>
          <cell r="E263">
            <v>25</v>
          </cell>
          <cell r="F263">
            <v>20</v>
          </cell>
          <cell r="M263">
            <v>70</v>
          </cell>
          <cell r="N263">
            <v>70</v>
          </cell>
          <cell r="O263">
            <v>70</v>
          </cell>
          <cell r="P263">
            <v>70</v>
          </cell>
          <cell r="W263">
            <v>40</v>
          </cell>
          <cell r="X263">
            <v>30</v>
          </cell>
          <cell r="Y263">
            <v>20</v>
          </cell>
        </row>
        <row r="264">
          <cell r="A264" t="str">
            <v>SI1553_20241101</v>
          </cell>
          <cell r="B264">
            <v>45602</v>
          </cell>
          <cell r="C264">
            <v>15</v>
          </cell>
          <cell r="D264">
            <v>18</v>
          </cell>
          <cell r="E264">
            <v>18</v>
          </cell>
          <cell r="F264">
            <v>15</v>
          </cell>
          <cell r="M264">
            <v>60</v>
          </cell>
          <cell r="N264">
            <v>60</v>
          </cell>
          <cell r="O264">
            <v>60</v>
          </cell>
          <cell r="P264">
            <v>60</v>
          </cell>
          <cell r="W264">
            <v>53</v>
          </cell>
          <cell r="X264">
            <v>48</v>
          </cell>
          <cell r="Y264">
            <v>43</v>
          </cell>
          <cell r="Z264">
            <v>40</v>
          </cell>
        </row>
        <row r="265">
          <cell r="A265" t="str">
            <v>SI1554_20241031</v>
          </cell>
          <cell r="B265">
            <v>45602</v>
          </cell>
          <cell r="C265">
            <v>12</v>
          </cell>
          <cell r="D265">
            <v>8</v>
          </cell>
          <cell r="E265">
            <v>15</v>
          </cell>
          <cell r="F265">
            <v>25</v>
          </cell>
          <cell r="M265">
            <v>75</v>
          </cell>
          <cell r="N265">
            <v>75</v>
          </cell>
          <cell r="O265">
            <v>75</v>
          </cell>
          <cell r="P265">
            <v>75</v>
          </cell>
          <cell r="W265">
            <v>60</v>
          </cell>
          <cell r="X265">
            <v>55</v>
          </cell>
          <cell r="Y265">
            <v>50</v>
          </cell>
          <cell r="Z265">
            <v>46</v>
          </cell>
        </row>
        <row r="266">
          <cell r="A266" t="str">
            <v>SI1519_20241108</v>
          </cell>
          <cell r="B266">
            <v>45607</v>
          </cell>
          <cell r="C266">
            <v>40</v>
          </cell>
          <cell r="D266">
            <v>40</v>
          </cell>
          <cell r="E266">
            <v>33</v>
          </cell>
          <cell r="M266">
            <v>42</v>
          </cell>
          <cell r="N266">
            <v>42</v>
          </cell>
          <cell r="O266">
            <v>48</v>
          </cell>
          <cell r="W266">
            <v>80</v>
          </cell>
          <cell r="X266">
            <v>65</v>
          </cell>
          <cell r="Y266">
            <v>30</v>
          </cell>
        </row>
        <row r="267">
          <cell r="A267" t="str">
            <v>SI1537_20241109</v>
          </cell>
          <cell r="B267">
            <v>45608</v>
          </cell>
          <cell r="C267">
            <v>10</v>
          </cell>
          <cell r="D267">
            <v>12</v>
          </cell>
          <cell r="E267">
            <v>12</v>
          </cell>
          <cell r="F267">
            <v>12</v>
          </cell>
          <cell r="M267">
            <v>150</v>
          </cell>
          <cell r="N267">
            <v>150</v>
          </cell>
          <cell r="O267">
            <v>150</v>
          </cell>
          <cell r="P267">
            <v>150</v>
          </cell>
          <cell r="W267">
            <v>50</v>
          </cell>
          <cell r="X267">
            <v>40</v>
          </cell>
          <cell r="Y267">
            <v>30</v>
          </cell>
          <cell r="Z267">
            <v>25</v>
          </cell>
        </row>
        <row r="268">
          <cell r="A268" t="str">
            <v>SI1542_20241112</v>
          </cell>
          <cell r="B268">
            <v>45609</v>
          </cell>
          <cell r="C268">
            <v>12</v>
          </cell>
          <cell r="D268">
            <v>25</v>
          </cell>
          <cell r="E268">
            <v>25</v>
          </cell>
          <cell r="F268">
            <v>25</v>
          </cell>
          <cell r="G268">
            <v>10</v>
          </cell>
          <cell r="M268">
            <v>80</v>
          </cell>
          <cell r="N268">
            <v>80</v>
          </cell>
          <cell r="O268">
            <v>80</v>
          </cell>
          <cell r="P268">
            <v>80</v>
          </cell>
          <cell r="Q268">
            <v>80</v>
          </cell>
          <cell r="W268">
            <v>85</v>
          </cell>
          <cell r="X268">
            <v>60</v>
          </cell>
          <cell r="Y268">
            <v>45</v>
          </cell>
          <cell r="Z268">
            <v>35</v>
          </cell>
          <cell r="AA268">
            <v>25</v>
          </cell>
        </row>
        <row r="269">
          <cell r="A269" t="str">
            <v>SI1540_20241112</v>
          </cell>
          <cell r="B269">
            <v>45609</v>
          </cell>
          <cell r="C269">
            <v>15</v>
          </cell>
          <cell r="D269">
            <v>5</v>
          </cell>
          <cell r="E269">
            <v>30</v>
          </cell>
          <cell r="F269">
            <v>35</v>
          </cell>
          <cell r="G269">
            <v>10</v>
          </cell>
          <cell r="M269">
            <v>140</v>
          </cell>
          <cell r="N269">
            <v>140</v>
          </cell>
          <cell r="O269">
            <v>140</v>
          </cell>
          <cell r="P269">
            <v>140</v>
          </cell>
          <cell r="Q269">
            <v>140</v>
          </cell>
          <cell r="W269">
            <v>40</v>
          </cell>
          <cell r="X269">
            <v>35</v>
          </cell>
          <cell r="Y269">
            <v>25</v>
          </cell>
          <cell r="Z269">
            <v>20</v>
          </cell>
          <cell r="AA269">
            <v>10</v>
          </cell>
        </row>
        <row r="270">
          <cell r="A270" t="str">
            <v>SI1554_20241112</v>
          </cell>
          <cell r="B270">
            <v>45615</v>
          </cell>
          <cell r="C270">
            <v>60</v>
          </cell>
          <cell r="D270">
            <v>60</v>
          </cell>
          <cell r="E270">
            <v>30</v>
          </cell>
          <cell r="M270">
            <v>65</v>
          </cell>
          <cell r="N270">
            <v>65</v>
          </cell>
          <cell r="O270">
            <v>33</v>
          </cell>
          <cell r="W270">
            <v>70</v>
          </cell>
          <cell r="X270">
            <v>60</v>
          </cell>
          <cell r="Y270" t="str">
            <v>보압</v>
          </cell>
        </row>
        <row r="271">
          <cell r="A271" t="str">
            <v>SI1553_20241112</v>
          </cell>
          <cell r="B271">
            <v>45615</v>
          </cell>
          <cell r="C271">
            <v>40</v>
          </cell>
          <cell r="D271">
            <v>42</v>
          </cell>
          <cell r="E271">
            <v>31</v>
          </cell>
          <cell r="M271">
            <v>42</v>
          </cell>
          <cell r="N271">
            <v>43</v>
          </cell>
          <cell r="O271">
            <v>34</v>
          </cell>
          <cell r="W271">
            <v>65</v>
          </cell>
          <cell r="X271">
            <v>50</v>
          </cell>
          <cell r="Y271">
            <v>65</v>
          </cell>
        </row>
        <row r="272">
          <cell r="A272" t="str">
            <v>SI1539_20241108</v>
          </cell>
          <cell r="B272">
            <v>45616</v>
          </cell>
          <cell r="C272">
            <v>40</v>
          </cell>
          <cell r="D272">
            <v>40</v>
          </cell>
          <cell r="E272">
            <v>31</v>
          </cell>
          <cell r="M272">
            <v>42</v>
          </cell>
          <cell r="N272">
            <v>42</v>
          </cell>
          <cell r="O272">
            <v>35</v>
          </cell>
          <cell r="W272">
            <v>50</v>
          </cell>
          <cell r="X272">
            <v>43</v>
          </cell>
          <cell r="Y272">
            <v>50</v>
          </cell>
        </row>
        <row r="273">
          <cell r="A273" t="str">
            <v>SI1544_20241118</v>
          </cell>
          <cell r="B273">
            <v>45616</v>
          </cell>
          <cell r="C273">
            <v>40</v>
          </cell>
          <cell r="D273">
            <v>40</v>
          </cell>
          <cell r="E273">
            <v>31</v>
          </cell>
          <cell r="M273">
            <v>42</v>
          </cell>
          <cell r="N273">
            <v>42</v>
          </cell>
          <cell r="O273">
            <v>33</v>
          </cell>
          <cell r="W273">
            <v>65</v>
          </cell>
          <cell r="X273">
            <v>55</v>
          </cell>
          <cell r="Y273">
            <v>65</v>
          </cell>
        </row>
        <row r="274">
          <cell r="A274" t="str">
            <v>SI1545_20241118</v>
          </cell>
          <cell r="B274">
            <v>45616</v>
          </cell>
          <cell r="C274">
            <v>38</v>
          </cell>
          <cell r="D274">
            <v>38</v>
          </cell>
          <cell r="E274">
            <v>30</v>
          </cell>
          <cell r="M274">
            <v>40</v>
          </cell>
          <cell r="N274">
            <v>40</v>
          </cell>
          <cell r="O274">
            <v>30</v>
          </cell>
          <cell r="W274">
            <v>65</v>
          </cell>
          <cell r="X274">
            <v>55</v>
          </cell>
          <cell r="Y274">
            <v>65</v>
          </cell>
        </row>
        <row r="275">
          <cell r="A275" t="str">
            <v>SI1557_20241115</v>
          </cell>
          <cell r="B275">
            <v>45618</v>
          </cell>
          <cell r="C275">
            <v>15</v>
          </cell>
          <cell r="D275">
            <v>30</v>
          </cell>
          <cell r="E275">
            <v>30</v>
          </cell>
          <cell r="F275">
            <v>22</v>
          </cell>
          <cell r="M275">
            <v>100</v>
          </cell>
          <cell r="N275">
            <v>100</v>
          </cell>
          <cell r="O275">
            <v>100</v>
          </cell>
          <cell r="P275">
            <v>100</v>
          </cell>
          <cell r="W275">
            <v>80</v>
          </cell>
          <cell r="X275">
            <v>65</v>
          </cell>
          <cell r="Y275">
            <v>40</v>
          </cell>
          <cell r="Z275">
            <v>25</v>
          </cell>
        </row>
        <row r="276">
          <cell r="A276" t="str">
            <v>SI1559_20241115</v>
          </cell>
          <cell r="B276">
            <v>45618</v>
          </cell>
          <cell r="C276">
            <v>15</v>
          </cell>
          <cell r="D276">
            <v>30</v>
          </cell>
          <cell r="E276">
            <v>30</v>
          </cell>
          <cell r="F276">
            <v>22</v>
          </cell>
          <cell r="M276">
            <v>100</v>
          </cell>
          <cell r="N276">
            <v>100</v>
          </cell>
          <cell r="O276">
            <v>100</v>
          </cell>
          <cell r="P276">
            <v>100</v>
          </cell>
          <cell r="W276">
            <v>105</v>
          </cell>
          <cell r="X276">
            <v>80</v>
          </cell>
          <cell r="Y276">
            <v>55</v>
          </cell>
          <cell r="Z276">
            <v>25</v>
          </cell>
        </row>
        <row r="277">
          <cell r="A277" t="str">
            <v>SI1519_20241122</v>
          </cell>
          <cell r="B277">
            <v>45621</v>
          </cell>
          <cell r="C277">
            <v>10</v>
          </cell>
          <cell r="D277">
            <v>25</v>
          </cell>
          <cell r="E277">
            <v>30</v>
          </cell>
          <cell r="F277">
            <v>15</v>
          </cell>
          <cell r="M277">
            <v>80</v>
          </cell>
          <cell r="N277">
            <v>80</v>
          </cell>
          <cell r="O277">
            <v>80</v>
          </cell>
          <cell r="P277">
            <v>80</v>
          </cell>
          <cell r="W277">
            <v>85</v>
          </cell>
          <cell r="X277">
            <v>65</v>
          </cell>
          <cell r="Y277">
            <v>40</v>
          </cell>
          <cell r="Z277">
            <v>36</v>
          </cell>
        </row>
        <row r="278">
          <cell r="A278" t="str">
            <v>SI1554_20241120</v>
          </cell>
          <cell r="B278">
            <v>45622</v>
          </cell>
          <cell r="C278">
            <v>15</v>
          </cell>
          <cell r="D278">
            <v>10</v>
          </cell>
          <cell r="E278">
            <v>15</v>
          </cell>
          <cell r="F278">
            <v>12</v>
          </cell>
          <cell r="M278">
            <v>110</v>
          </cell>
          <cell r="N278">
            <v>110</v>
          </cell>
          <cell r="O278">
            <v>110</v>
          </cell>
          <cell r="P278">
            <v>110</v>
          </cell>
          <cell r="W278">
            <v>50</v>
          </cell>
          <cell r="X278">
            <v>45</v>
          </cell>
          <cell r="Y278">
            <v>40</v>
          </cell>
        </row>
        <row r="279">
          <cell r="A279" t="str">
            <v>SI1554_20241127</v>
          </cell>
          <cell r="B279">
            <v>45624</v>
          </cell>
          <cell r="C279">
            <v>15</v>
          </cell>
          <cell r="D279">
            <v>10</v>
          </cell>
          <cell r="E279">
            <v>15</v>
          </cell>
          <cell r="F279">
            <v>10</v>
          </cell>
          <cell r="M279">
            <v>100</v>
          </cell>
          <cell r="N279">
            <v>100</v>
          </cell>
          <cell r="O279">
            <v>100</v>
          </cell>
          <cell r="P279">
            <v>100</v>
          </cell>
          <cell r="W279">
            <v>50</v>
          </cell>
          <cell r="X279">
            <v>45</v>
          </cell>
          <cell r="Y279">
            <v>40</v>
          </cell>
        </row>
        <row r="280">
          <cell r="A280" t="str">
            <v>SI1558_20241115</v>
          </cell>
          <cell r="B280">
            <v>45624</v>
          </cell>
          <cell r="C280">
            <v>10</v>
          </cell>
          <cell r="D280">
            <v>20</v>
          </cell>
          <cell r="E280">
            <v>15</v>
          </cell>
          <cell r="F280">
            <v>10</v>
          </cell>
          <cell r="M280">
            <v>60</v>
          </cell>
          <cell r="N280">
            <v>60</v>
          </cell>
          <cell r="O280">
            <v>60</v>
          </cell>
          <cell r="P280">
            <v>60</v>
          </cell>
          <cell r="W280">
            <v>50</v>
          </cell>
          <cell r="X280">
            <v>45</v>
          </cell>
          <cell r="Y280">
            <v>40</v>
          </cell>
          <cell r="Z280">
            <v>38</v>
          </cell>
        </row>
        <row r="281">
          <cell r="A281" t="str">
            <v>SI1537_20241120</v>
          </cell>
          <cell r="B281">
            <v>45630</v>
          </cell>
          <cell r="C281">
            <v>15</v>
          </cell>
          <cell r="D281">
            <v>20</v>
          </cell>
          <cell r="E281">
            <v>20</v>
          </cell>
          <cell r="F281">
            <v>15</v>
          </cell>
          <cell r="G281">
            <v>10</v>
          </cell>
          <cell r="M281">
            <v>55</v>
          </cell>
          <cell r="N281">
            <v>50</v>
          </cell>
          <cell r="O281">
            <v>45</v>
          </cell>
          <cell r="P281">
            <v>40</v>
          </cell>
          <cell r="Q281">
            <v>35</v>
          </cell>
          <cell r="W281">
            <v>45</v>
          </cell>
          <cell r="X281">
            <v>40</v>
          </cell>
          <cell r="Y281">
            <v>38</v>
          </cell>
          <cell r="Z281">
            <v>35</v>
          </cell>
        </row>
        <row r="282">
          <cell r="A282" t="str">
            <v>SI1538_20241120</v>
          </cell>
          <cell r="B282">
            <v>45630</v>
          </cell>
          <cell r="C282">
            <v>13</v>
          </cell>
          <cell r="D282">
            <v>25</v>
          </cell>
          <cell r="E282">
            <v>25</v>
          </cell>
          <cell r="F282">
            <v>25</v>
          </cell>
          <cell r="G282">
            <v>20</v>
          </cell>
          <cell r="M282">
            <v>130</v>
          </cell>
          <cell r="N282">
            <v>130</v>
          </cell>
          <cell r="O282">
            <v>130</v>
          </cell>
          <cell r="P282">
            <v>130</v>
          </cell>
          <cell r="Q282">
            <v>130</v>
          </cell>
          <cell r="W282">
            <v>85</v>
          </cell>
          <cell r="X282">
            <v>65</v>
          </cell>
          <cell r="Y282">
            <v>55</v>
          </cell>
          <cell r="Z282">
            <v>46</v>
          </cell>
        </row>
        <row r="283">
          <cell r="A283" t="str">
            <v>SI1539_20241120</v>
          </cell>
          <cell r="B283">
            <v>45630</v>
          </cell>
          <cell r="C283">
            <v>20</v>
          </cell>
          <cell r="D283">
            <v>30</v>
          </cell>
          <cell r="E283">
            <v>20</v>
          </cell>
          <cell r="F283">
            <v>10</v>
          </cell>
          <cell r="M283">
            <v>90</v>
          </cell>
          <cell r="N283">
            <v>90</v>
          </cell>
          <cell r="O283">
            <v>90</v>
          </cell>
          <cell r="P283">
            <v>90</v>
          </cell>
          <cell r="W283">
            <v>65</v>
          </cell>
          <cell r="X283">
            <v>55</v>
          </cell>
          <cell r="Y283">
            <v>40</v>
          </cell>
        </row>
        <row r="284">
          <cell r="A284" t="str">
            <v>SI1541_20241205</v>
          </cell>
          <cell r="B284">
            <v>45635</v>
          </cell>
          <cell r="C284">
            <v>15</v>
          </cell>
          <cell r="D284">
            <v>45</v>
          </cell>
          <cell r="E284">
            <v>35</v>
          </cell>
          <cell r="F284">
            <v>40</v>
          </cell>
          <cell r="M284">
            <v>150</v>
          </cell>
          <cell r="N284">
            <v>150</v>
          </cell>
          <cell r="O284">
            <v>150</v>
          </cell>
          <cell r="P284">
            <v>150</v>
          </cell>
          <cell r="W284">
            <v>80</v>
          </cell>
          <cell r="X284">
            <v>60</v>
          </cell>
          <cell r="Y284">
            <v>40</v>
          </cell>
          <cell r="Z284">
            <v>32</v>
          </cell>
        </row>
        <row r="285">
          <cell r="A285" t="str">
            <v>SI1540_20241205</v>
          </cell>
          <cell r="B285">
            <v>45635</v>
          </cell>
          <cell r="C285">
            <v>15</v>
          </cell>
          <cell r="D285">
            <v>8</v>
          </cell>
          <cell r="E285">
            <v>35</v>
          </cell>
          <cell r="F285">
            <v>40</v>
          </cell>
          <cell r="G285">
            <v>30</v>
          </cell>
          <cell r="M285">
            <v>145</v>
          </cell>
          <cell r="N285">
            <v>145</v>
          </cell>
          <cell r="O285">
            <v>145</v>
          </cell>
          <cell r="P285">
            <v>145</v>
          </cell>
          <cell r="Q285">
            <v>145</v>
          </cell>
          <cell r="W285">
            <v>40</v>
          </cell>
          <cell r="X285">
            <v>35</v>
          </cell>
          <cell r="Y285">
            <v>25</v>
          </cell>
          <cell r="Z285">
            <v>15</v>
          </cell>
          <cell r="AA285">
            <v>10</v>
          </cell>
        </row>
        <row r="286">
          <cell r="A286" t="str">
            <v>SI1542_20241205</v>
          </cell>
          <cell r="B286">
            <v>45637</v>
          </cell>
          <cell r="C286">
            <v>43</v>
          </cell>
          <cell r="D286">
            <v>43</v>
          </cell>
          <cell r="E286">
            <v>30</v>
          </cell>
          <cell r="M286">
            <v>45</v>
          </cell>
          <cell r="N286">
            <v>45</v>
          </cell>
          <cell r="O286">
            <v>31</v>
          </cell>
          <cell r="W286">
            <v>85</v>
          </cell>
          <cell r="X286">
            <v>58</v>
          </cell>
          <cell r="Y286">
            <v>85</v>
          </cell>
        </row>
        <row r="287">
          <cell r="A287" t="str">
            <v>SI1540_20241211</v>
          </cell>
          <cell r="B287">
            <v>45637</v>
          </cell>
          <cell r="C287">
            <v>15</v>
          </cell>
          <cell r="D287">
            <v>8</v>
          </cell>
          <cell r="E287">
            <v>35</v>
          </cell>
          <cell r="F287">
            <v>40</v>
          </cell>
          <cell r="G287">
            <v>30</v>
          </cell>
          <cell r="M287">
            <v>145</v>
          </cell>
          <cell r="N287">
            <v>145</v>
          </cell>
          <cell r="O287">
            <v>145</v>
          </cell>
          <cell r="P287">
            <v>145</v>
          </cell>
          <cell r="Q287">
            <v>145</v>
          </cell>
          <cell r="W287">
            <v>40</v>
          </cell>
          <cell r="X287">
            <v>35</v>
          </cell>
          <cell r="Y287">
            <v>25</v>
          </cell>
          <cell r="Z287">
            <v>15</v>
          </cell>
          <cell r="AA287">
            <v>11</v>
          </cell>
        </row>
        <row r="288">
          <cell r="A288" t="str">
            <v>SI1540_20241216</v>
          </cell>
          <cell r="B288">
            <v>45642</v>
          </cell>
          <cell r="C288">
            <v>20</v>
          </cell>
          <cell r="D288">
            <v>8</v>
          </cell>
          <cell r="E288">
            <v>40</v>
          </cell>
          <cell r="F288">
            <v>35</v>
          </cell>
          <cell r="G288">
            <v>10</v>
          </cell>
          <cell r="M288">
            <v>100</v>
          </cell>
          <cell r="N288">
            <v>100</v>
          </cell>
          <cell r="O288">
            <v>100</v>
          </cell>
          <cell r="P288">
            <v>100</v>
          </cell>
          <cell r="Q288">
            <v>100</v>
          </cell>
          <cell r="W288">
            <v>40</v>
          </cell>
          <cell r="X288">
            <v>35</v>
          </cell>
          <cell r="Y288">
            <v>20</v>
          </cell>
          <cell r="Z288">
            <v>15</v>
          </cell>
          <cell r="AA288">
            <v>10</v>
          </cell>
        </row>
        <row r="289">
          <cell r="A289" t="str">
            <v>SI1537_20241211</v>
          </cell>
          <cell r="B289">
            <v>45642</v>
          </cell>
          <cell r="C289">
            <v>15</v>
          </cell>
          <cell r="D289">
            <v>20</v>
          </cell>
          <cell r="E289">
            <v>20</v>
          </cell>
          <cell r="F289">
            <v>15</v>
          </cell>
          <cell r="G289">
            <v>10</v>
          </cell>
          <cell r="M289">
            <v>90</v>
          </cell>
          <cell r="N289">
            <v>90</v>
          </cell>
          <cell r="O289">
            <v>90</v>
          </cell>
          <cell r="P289">
            <v>90</v>
          </cell>
          <cell r="Q289">
            <v>90</v>
          </cell>
          <cell r="R289">
            <v>90</v>
          </cell>
          <cell r="W289">
            <v>55</v>
          </cell>
          <cell r="X289">
            <v>50</v>
          </cell>
          <cell r="Y289">
            <v>45</v>
          </cell>
          <cell r="Z289">
            <v>40</v>
          </cell>
          <cell r="AA289">
            <v>35</v>
          </cell>
        </row>
        <row r="290">
          <cell r="A290" t="str">
            <v>SI1519_20241215</v>
          </cell>
          <cell r="B290">
            <v>45643</v>
          </cell>
          <cell r="C290">
            <v>20</v>
          </cell>
          <cell r="D290">
            <v>10</v>
          </cell>
          <cell r="E290">
            <v>25</v>
          </cell>
          <cell r="F290">
            <v>30</v>
          </cell>
          <cell r="G290">
            <v>15</v>
          </cell>
          <cell r="M290">
            <v>95</v>
          </cell>
          <cell r="N290">
            <v>95</v>
          </cell>
          <cell r="O290">
            <v>95</v>
          </cell>
          <cell r="P290">
            <v>95</v>
          </cell>
          <cell r="Q290">
            <v>95</v>
          </cell>
          <cell r="W290">
            <v>75</v>
          </cell>
          <cell r="X290">
            <v>70</v>
          </cell>
          <cell r="Y290">
            <v>50</v>
          </cell>
          <cell r="Z290">
            <v>25</v>
          </cell>
          <cell r="AA290">
            <v>15</v>
          </cell>
        </row>
        <row r="291">
          <cell r="A291" t="str">
            <v>SI1586_20241218</v>
          </cell>
          <cell r="B291">
            <v>45644</v>
          </cell>
          <cell r="C291">
            <v>30</v>
          </cell>
          <cell r="D291">
            <v>60</v>
          </cell>
          <cell r="E291">
            <v>40</v>
          </cell>
          <cell r="F291">
            <v>45</v>
          </cell>
          <cell r="M291">
            <v>100</v>
          </cell>
          <cell r="N291">
            <v>100</v>
          </cell>
          <cell r="O291">
            <v>100</v>
          </cell>
          <cell r="P291">
            <v>100</v>
          </cell>
          <cell r="W291">
            <v>80</v>
          </cell>
          <cell r="X291">
            <v>60</v>
          </cell>
          <cell r="Y291">
            <v>50</v>
          </cell>
          <cell r="Z291">
            <v>25</v>
          </cell>
        </row>
        <row r="292">
          <cell r="A292" t="str">
            <v>SI1586_20241219</v>
          </cell>
          <cell r="B292">
            <v>45644</v>
          </cell>
          <cell r="C292">
            <v>30</v>
          </cell>
          <cell r="D292">
            <v>60</v>
          </cell>
          <cell r="E292">
            <v>40</v>
          </cell>
          <cell r="F292">
            <v>45</v>
          </cell>
          <cell r="M292">
            <v>100</v>
          </cell>
          <cell r="N292">
            <v>100</v>
          </cell>
          <cell r="O292">
            <v>100</v>
          </cell>
          <cell r="P292">
            <v>100</v>
          </cell>
          <cell r="W292">
            <v>80</v>
          </cell>
          <cell r="X292">
            <v>60</v>
          </cell>
          <cell r="Y292">
            <v>50</v>
          </cell>
          <cell r="Z292">
            <v>25</v>
          </cell>
        </row>
        <row r="293">
          <cell r="A293" t="str">
            <v>SI1589_20241218</v>
          </cell>
          <cell r="B293">
            <v>45645</v>
          </cell>
          <cell r="C293">
            <v>15</v>
          </cell>
          <cell r="D293">
            <v>12</v>
          </cell>
          <cell r="E293">
            <v>20</v>
          </cell>
          <cell r="F293">
            <v>25</v>
          </cell>
          <cell r="G293">
            <v>15</v>
          </cell>
          <cell r="H293">
            <v>10</v>
          </cell>
          <cell r="M293">
            <v>110</v>
          </cell>
          <cell r="N293">
            <v>110</v>
          </cell>
          <cell r="O293">
            <v>110</v>
          </cell>
          <cell r="P293">
            <v>110</v>
          </cell>
          <cell r="Q293">
            <v>110</v>
          </cell>
          <cell r="R293">
            <v>110</v>
          </cell>
          <cell r="W293">
            <v>90</v>
          </cell>
          <cell r="X293">
            <v>75</v>
          </cell>
          <cell r="Y293">
            <v>68</v>
          </cell>
          <cell r="Z293">
            <v>50</v>
          </cell>
          <cell r="AA293">
            <v>46</v>
          </cell>
        </row>
        <row r="294">
          <cell r="A294" t="str">
            <v>SI1589_20241219</v>
          </cell>
          <cell r="B294">
            <v>45645</v>
          </cell>
          <cell r="C294">
            <v>15</v>
          </cell>
          <cell r="D294">
            <v>12</v>
          </cell>
          <cell r="E294">
            <v>20</v>
          </cell>
          <cell r="F294">
            <v>25</v>
          </cell>
          <cell r="G294">
            <v>15</v>
          </cell>
          <cell r="H294">
            <v>10</v>
          </cell>
          <cell r="M294">
            <v>120</v>
          </cell>
          <cell r="N294">
            <v>120</v>
          </cell>
          <cell r="O294">
            <v>120</v>
          </cell>
          <cell r="P294">
            <v>120</v>
          </cell>
          <cell r="Q294">
            <v>120</v>
          </cell>
          <cell r="R294">
            <v>120</v>
          </cell>
          <cell r="W294">
            <v>90</v>
          </cell>
          <cell r="X294">
            <v>75</v>
          </cell>
          <cell r="Y294">
            <v>68</v>
          </cell>
          <cell r="Z294">
            <v>50</v>
          </cell>
          <cell r="AA294">
            <v>46</v>
          </cell>
        </row>
        <row r="295">
          <cell r="A295" t="str">
            <v>SI1587_20241218</v>
          </cell>
          <cell r="B295">
            <v>45645</v>
          </cell>
          <cell r="C295">
            <v>15</v>
          </cell>
          <cell r="D295">
            <v>20</v>
          </cell>
          <cell r="E295">
            <v>30</v>
          </cell>
          <cell r="F295">
            <v>30</v>
          </cell>
          <cell r="G295">
            <v>25</v>
          </cell>
          <cell r="M295">
            <v>135</v>
          </cell>
          <cell r="N295">
            <v>135</v>
          </cell>
          <cell r="O295">
            <v>135</v>
          </cell>
          <cell r="P295">
            <v>135</v>
          </cell>
          <cell r="Q295">
            <v>135</v>
          </cell>
          <cell r="R295">
            <v>135</v>
          </cell>
          <cell r="W295">
            <v>60</v>
          </cell>
          <cell r="X295">
            <v>40</v>
          </cell>
          <cell r="Y295">
            <v>30</v>
          </cell>
          <cell r="Z295">
            <v>22</v>
          </cell>
        </row>
        <row r="296">
          <cell r="A296" t="str">
            <v>SI1587_20241219</v>
          </cell>
          <cell r="B296">
            <v>45645</v>
          </cell>
          <cell r="C296">
            <v>15</v>
          </cell>
          <cell r="D296">
            <v>20</v>
          </cell>
          <cell r="E296">
            <v>30</v>
          </cell>
          <cell r="F296">
            <v>30</v>
          </cell>
          <cell r="G296">
            <v>25</v>
          </cell>
          <cell r="M296">
            <v>130</v>
          </cell>
          <cell r="N296">
            <v>130</v>
          </cell>
          <cell r="O296">
            <v>130</v>
          </cell>
          <cell r="P296">
            <v>130</v>
          </cell>
          <cell r="Q296">
            <v>130</v>
          </cell>
          <cell r="R296">
            <v>130</v>
          </cell>
          <cell r="W296">
            <v>60</v>
          </cell>
          <cell r="X296">
            <v>50</v>
          </cell>
          <cell r="Y296">
            <v>40</v>
          </cell>
          <cell r="Z296">
            <v>35</v>
          </cell>
        </row>
        <row r="297">
          <cell r="A297" t="str">
            <v>SI1588_20241218</v>
          </cell>
          <cell r="B297">
            <v>45646</v>
          </cell>
          <cell r="C297">
            <v>25</v>
          </cell>
          <cell r="D297">
            <v>20</v>
          </cell>
          <cell r="E297">
            <v>28</v>
          </cell>
          <cell r="F297">
            <v>30</v>
          </cell>
          <cell r="G297">
            <v>25</v>
          </cell>
          <cell r="M297">
            <v>130</v>
          </cell>
          <cell r="N297">
            <v>130</v>
          </cell>
          <cell r="O297">
            <v>130</v>
          </cell>
          <cell r="P297">
            <v>130</v>
          </cell>
          <cell r="Q297">
            <v>130</v>
          </cell>
          <cell r="W297">
            <v>85</v>
          </cell>
          <cell r="X297">
            <v>75</v>
          </cell>
          <cell r="Y297">
            <v>65</v>
          </cell>
          <cell r="Z297">
            <v>52</v>
          </cell>
        </row>
        <row r="298">
          <cell r="A298" t="str">
            <v>SI1588_20241219</v>
          </cell>
          <cell r="B298">
            <v>45646</v>
          </cell>
          <cell r="C298">
            <v>25</v>
          </cell>
          <cell r="D298">
            <v>20</v>
          </cell>
          <cell r="E298">
            <v>28</v>
          </cell>
          <cell r="F298">
            <v>30</v>
          </cell>
          <cell r="G298">
            <v>25</v>
          </cell>
          <cell r="M298">
            <v>135</v>
          </cell>
          <cell r="N298">
            <v>135</v>
          </cell>
          <cell r="O298">
            <v>135</v>
          </cell>
          <cell r="P298">
            <v>135</v>
          </cell>
          <cell r="Q298">
            <v>135</v>
          </cell>
          <cell r="W298">
            <v>85</v>
          </cell>
          <cell r="X298">
            <v>75</v>
          </cell>
          <cell r="Y298">
            <v>65</v>
          </cell>
          <cell r="Z298">
            <v>52</v>
          </cell>
        </row>
        <row r="299">
          <cell r="A299" t="str">
            <v>SI1557_20241218</v>
          </cell>
          <cell r="B299">
            <v>45649</v>
          </cell>
          <cell r="C299">
            <v>20</v>
          </cell>
          <cell r="D299">
            <v>30</v>
          </cell>
          <cell r="E299">
            <v>30</v>
          </cell>
          <cell r="F299">
            <v>22</v>
          </cell>
          <cell r="G299">
            <v>22</v>
          </cell>
          <cell r="M299">
            <v>130</v>
          </cell>
          <cell r="N299">
            <v>130</v>
          </cell>
          <cell r="O299">
            <v>130</v>
          </cell>
          <cell r="P299">
            <v>130</v>
          </cell>
          <cell r="W299">
            <v>100</v>
          </cell>
          <cell r="X299">
            <v>75</v>
          </cell>
          <cell r="Y299">
            <v>60</v>
          </cell>
          <cell r="Z299">
            <v>40</v>
          </cell>
        </row>
        <row r="300">
          <cell r="A300" t="str">
            <v>SI1541_20241222</v>
          </cell>
          <cell r="B300">
            <v>45650</v>
          </cell>
          <cell r="C300">
            <v>20</v>
          </cell>
          <cell r="D300">
            <v>15</v>
          </cell>
          <cell r="E300">
            <v>20</v>
          </cell>
          <cell r="F300">
            <v>25</v>
          </cell>
          <cell r="G300">
            <v>20</v>
          </cell>
          <cell r="M300">
            <v>170</v>
          </cell>
          <cell r="N300">
            <v>170</v>
          </cell>
          <cell r="O300">
            <v>170</v>
          </cell>
          <cell r="P300">
            <v>170</v>
          </cell>
          <cell r="Q300">
            <v>170</v>
          </cell>
          <cell r="W300">
            <v>68</v>
          </cell>
          <cell r="X300">
            <v>42</v>
          </cell>
          <cell r="Y300">
            <v>33</v>
          </cell>
          <cell r="Z300">
            <v>25</v>
          </cell>
        </row>
        <row r="301">
          <cell r="A301" t="str">
            <v>SI1560_20241218</v>
          </cell>
          <cell r="B301">
            <v>45651</v>
          </cell>
          <cell r="C301">
            <v>20</v>
          </cell>
          <cell r="D301">
            <v>25</v>
          </cell>
          <cell r="E301">
            <v>25</v>
          </cell>
          <cell r="F301">
            <v>20</v>
          </cell>
          <cell r="M301">
            <v>55</v>
          </cell>
          <cell r="N301">
            <v>55</v>
          </cell>
          <cell r="O301">
            <v>55</v>
          </cell>
          <cell r="P301">
            <v>55</v>
          </cell>
          <cell r="W301">
            <v>60</v>
          </cell>
          <cell r="X301">
            <v>50</v>
          </cell>
          <cell r="Y301">
            <v>45</v>
          </cell>
          <cell r="Z301">
            <v>38</v>
          </cell>
        </row>
        <row r="302">
          <cell r="A302" t="str">
            <v>SI1558_20241218</v>
          </cell>
          <cell r="B302">
            <v>45651</v>
          </cell>
          <cell r="C302">
            <v>20</v>
          </cell>
          <cell r="D302">
            <v>25</v>
          </cell>
          <cell r="E302">
            <v>25</v>
          </cell>
          <cell r="F302">
            <v>20</v>
          </cell>
          <cell r="M302">
            <v>55</v>
          </cell>
          <cell r="N302">
            <v>55</v>
          </cell>
          <cell r="O302">
            <v>55</v>
          </cell>
          <cell r="P302">
            <v>55</v>
          </cell>
          <cell r="W302">
            <v>50</v>
          </cell>
          <cell r="X302">
            <v>45</v>
          </cell>
          <cell r="Y302">
            <v>40</v>
          </cell>
          <cell r="Z302">
            <v>35</v>
          </cell>
        </row>
        <row r="303">
          <cell r="A303" t="str">
            <v>SI1542_20241225</v>
          </cell>
          <cell r="B303">
            <v>45651</v>
          </cell>
          <cell r="C303">
            <v>20</v>
          </cell>
          <cell r="D303">
            <v>35</v>
          </cell>
          <cell r="E303">
            <v>35</v>
          </cell>
          <cell r="F303">
            <v>20</v>
          </cell>
          <cell r="M303">
            <v>70</v>
          </cell>
          <cell r="N303">
            <v>70</v>
          </cell>
          <cell r="O303">
            <v>70</v>
          </cell>
          <cell r="P303">
            <v>70</v>
          </cell>
          <cell r="W303">
            <v>80</v>
          </cell>
          <cell r="X303">
            <v>65</v>
          </cell>
          <cell r="Y303">
            <v>55</v>
          </cell>
          <cell r="Z303">
            <v>40</v>
          </cell>
        </row>
        <row r="304">
          <cell r="A304" t="str">
            <v>SI1519_20250102</v>
          </cell>
          <cell r="B304">
            <v>45660</v>
          </cell>
          <cell r="C304">
            <v>20</v>
          </cell>
          <cell r="D304">
            <v>10</v>
          </cell>
          <cell r="E304">
            <v>25</v>
          </cell>
          <cell r="F304">
            <v>30</v>
          </cell>
          <cell r="G304">
            <v>15</v>
          </cell>
          <cell r="M304">
            <v>90</v>
          </cell>
          <cell r="N304">
            <v>90</v>
          </cell>
          <cell r="O304">
            <v>90</v>
          </cell>
          <cell r="P304">
            <v>90</v>
          </cell>
          <cell r="W304">
            <v>75</v>
          </cell>
          <cell r="X304">
            <v>70</v>
          </cell>
          <cell r="Y304">
            <v>50</v>
          </cell>
          <cell r="Z304">
            <v>25</v>
          </cell>
          <cell r="AA304">
            <v>15</v>
          </cell>
        </row>
        <row r="305">
          <cell r="A305" t="str">
            <v>SI1560_20250106</v>
          </cell>
          <cell r="B305">
            <v>45663</v>
          </cell>
          <cell r="C305">
            <v>20</v>
          </cell>
          <cell r="D305">
            <v>25</v>
          </cell>
          <cell r="E305">
            <v>20</v>
          </cell>
          <cell r="F305">
            <v>15</v>
          </cell>
          <cell r="G305">
            <v>10</v>
          </cell>
          <cell r="M305">
            <v>80</v>
          </cell>
          <cell r="N305">
            <v>80</v>
          </cell>
          <cell r="O305">
            <v>80</v>
          </cell>
          <cell r="P305">
            <v>80</v>
          </cell>
          <cell r="Q305">
            <v>80</v>
          </cell>
          <cell r="W305">
            <v>50</v>
          </cell>
          <cell r="X305">
            <v>40</v>
          </cell>
          <cell r="Y305">
            <v>33</v>
          </cell>
          <cell r="Z305">
            <v>28</v>
          </cell>
        </row>
        <row r="306">
          <cell r="A306" t="str">
            <v>SI1558_20241227</v>
          </cell>
          <cell r="B306" t="str">
            <v/>
          </cell>
          <cell r="C306">
            <v>20</v>
          </cell>
          <cell r="D306">
            <v>25</v>
          </cell>
          <cell r="E306">
            <v>20</v>
          </cell>
          <cell r="F306">
            <v>15</v>
          </cell>
          <cell r="G306">
            <v>10</v>
          </cell>
          <cell r="M306">
            <v>80</v>
          </cell>
          <cell r="N306">
            <v>80</v>
          </cell>
          <cell r="O306">
            <v>80</v>
          </cell>
          <cell r="P306">
            <v>80</v>
          </cell>
          <cell r="Q306">
            <v>80</v>
          </cell>
          <cell r="W306">
            <v>50</v>
          </cell>
          <cell r="X306">
            <v>40</v>
          </cell>
          <cell r="Y306">
            <v>33</v>
          </cell>
          <cell r="Z306">
            <v>28</v>
          </cell>
        </row>
        <row r="307">
          <cell r="A307" t="str">
            <v>SI1541_20250106</v>
          </cell>
          <cell r="B307">
            <v>45664</v>
          </cell>
          <cell r="C307">
            <v>20</v>
          </cell>
          <cell r="D307">
            <v>15</v>
          </cell>
          <cell r="E307">
            <v>40</v>
          </cell>
          <cell r="F307">
            <v>30</v>
          </cell>
          <cell r="G307">
            <v>20</v>
          </cell>
          <cell r="M307">
            <v>170</v>
          </cell>
          <cell r="N307">
            <v>170</v>
          </cell>
          <cell r="O307">
            <v>170</v>
          </cell>
          <cell r="P307">
            <v>170</v>
          </cell>
          <cell r="Q307">
            <v>170</v>
          </cell>
          <cell r="W307">
            <v>68</v>
          </cell>
          <cell r="X307">
            <v>43</v>
          </cell>
          <cell r="Y307">
            <v>35</v>
          </cell>
          <cell r="Z307">
            <v>20</v>
          </cell>
          <cell r="AA307">
            <v>14</v>
          </cell>
        </row>
        <row r="308">
          <cell r="A308" t="str">
            <v>SI1540_20250106</v>
          </cell>
          <cell r="B308">
            <v>45664</v>
          </cell>
          <cell r="C308">
            <v>20</v>
          </cell>
          <cell r="D308">
            <v>8</v>
          </cell>
          <cell r="E308">
            <v>40</v>
          </cell>
          <cell r="F308">
            <v>35</v>
          </cell>
          <cell r="G308">
            <v>10</v>
          </cell>
          <cell r="M308">
            <v>100</v>
          </cell>
          <cell r="N308">
            <v>100</v>
          </cell>
          <cell r="O308">
            <v>100</v>
          </cell>
          <cell r="P308">
            <v>100</v>
          </cell>
          <cell r="Q308">
            <v>100</v>
          </cell>
          <cell r="W308">
            <v>40</v>
          </cell>
          <cell r="X308">
            <v>35</v>
          </cell>
          <cell r="Y308">
            <v>20</v>
          </cell>
          <cell r="Z308">
            <v>15</v>
          </cell>
          <cell r="AA308">
            <v>8</v>
          </cell>
        </row>
        <row r="309">
          <cell r="A309" t="str">
            <v>SI1569_20250110</v>
          </cell>
          <cell r="B309">
            <v>45666</v>
          </cell>
          <cell r="C309">
            <v>50</v>
          </cell>
          <cell r="D309">
            <v>45</v>
          </cell>
          <cell r="E309">
            <v>35</v>
          </cell>
          <cell r="F309">
            <v>24</v>
          </cell>
          <cell r="M309">
            <v>100</v>
          </cell>
          <cell r="N309">
            <v>100</v>
          </cell>
          <cell r="O309">
            <v>100</v>
          </cell>
          <cell r="P309">
            <v>100</v>
          </cell>
          <cell r="W309">
            <v>100</v>
          </cell>
          <cell r="X309">
            <v>50</v>
          </cell>
          <cell r="Y309">
            <v>40</v>
          </cell>
          <cell r="Z309">
            <v>28</v>
          </cell>
        </row>
        <row r="310">
          <cell r="A310" t="str">
            <v>SI1543_20250115</v>
          </cell>
          <cell r="B310">
            <v>45673</v>
          </cell>
          <cell r="C310">
            <v>20</v>
          </cell>
          <cell r="D310">
            <v>25</v>
          </cell>
          <cell r="E310">
            <v>25</v>
          </cell>
          <cell r="F310">
            <v>20</v>
          </cell>
          <cell r="G310">
            <v>15</v>
          </cell>
          <cell r="M310">
            <v>100</v>
          </cell>
          <cell r="N310">
            <v>100</v>
          </cell>
          <cell r="O310">
            <v>100</v>
          </cell>
          <cell r="P310">
            <v>100</v>
          </cell>
          <cell r="Q310">
            <v>100</v>
          </cell>
          <cell r="W310">
            <v>100</v>
          </cell>
          <cell r="X310">
            <v>85</v>
          </cell>
          <cell r="Y310">
            <v>65</v>
          </cell>
          <cell r="Z310">
            <v>45</v>
          </cell>
        </row>
        <row r="311">
          <cell r="A311" t="str">
            <v>SI1582_20250116</v>
          </cell>
          <cell r="B311">
            <v>45674</v>
          </cell>
          <cell r="C311">
            <v>20</v>
          </cell>
          <cell r="D311">
            <v>25</v>
          </cell>
          <cell r="E311">
            <v>30</v>
          </cell>
          <cell r="F311">
            <v>25</v>
          </cell>
          <cell r="M311">
            <v>140</v>
          </cell>
          <cell r="N311">
            <v>140</v>
          </cell>
          <cell r="O311">
            <v>140</v>
          </cell>
          <cell r="P311">
            <v>140</v>
          </cell>
          <cell r="W311">
            <v>85</v>
          </cell>
          <cell r="X311">
            <v>65</v>
          </cell>
          <cell r="Y311">
            <v>50</v>
          </cell>
        </row>
        <row r="312">
          <cell r="A312" t="str">
            <v>SI1583_20250116</v>
          </cell>
          <cell r="B312">
            <v>45674</v>
          </cell>
          <cell r="C312">
            <v>10</v>
          </cell>
          <cell r="D312">
            <v>18</v>
          </cell>
          <cell r="E312">
            <v>25</v>
          </cell>
          <cell r="F312">
            <v>20</v>
          </cell>
          <cell r="M312">
            <v>140</v>
          </cell>
          <cell r="N312">
            <v>140</v>
          </cell>
          <cell r="O312">
            <v>140</v>
          </cell>
          <cell r="P312">
            <v>140</v>
          </cell>
          <cell r="W312">
            <v>90</v>
          </cell>
          <cell r="X312">
            <v>65</v>
          </cell>
          <cell r="Y312">
            <v>50</v>
          </cell>
        </row>
      </sheetData>
      <sheetData sheetId="6">
        <row r="1">
          <cell r="A1" t="str">
            <v>의뢰코드</v>
          </cell>
          <cell r="B1" t="str">
            <v>실험자</v>
          </cell>
          <cell r="C1" t="str">
            <v>실험일자</v>
          </cell>
          <cell r="D1" t="str">
            <v>제품명</v>
          </cell>
          <cell r="E1" t="str">
            <v>보압_속도1</v>
          </cell>
          <cell r="F1" t="str">
            <v>보압_속도2</v>
          </cell>
          <cell r="G1" t="str">
            <v>보압_속도3</v>
          </cell>
          <cell r="H1" t="str">
            <v>보압_압력1</v>
          </cell>
          <cell r="I1" t="str">
            <v>보압_압력2</v>
          </cell>
          <cell r="J1" t="str">
            <v>보압_압력3</v>
          </cell>
          <cell r="K1" t="str">
            <v>보압_시간1</v>
          </cell>
          <cell r="L1" t="str">
            <v>보압_시간2</v>
          </cell>
          <cell r="M1" t="str">
            <v>보압_시간3</v>
          </cell>
          <cell r="N1" t="str">
            <v>쿠션</v>
          </cell>
        </row>
        <row r="2">
          <cell r="A2" t="str">
            <v>SI1621_20260707</v>
          </cell>
          <cell r="B2" t="str">
            <v>유재호</v>
          </cell>
          <cell r="C2">
            <v>46210</v>
          </cell>
          <cell r="D2" t="str">
            <v>설화수 진설명작크림 60ML (26AD 숄더장식 사출</v>
          </cell>
          <cell r="E2">
            <v>10</v>
          </cell>
          <cell r="H2">
            <v>100</v>
          </cell>
          <cell r="K2">
            <v>5</v>
          </cell>
          <cell r="N2">
            <v>32</v>
          </cell>
        </row>
        <row r="3">
          <cell r="A3" t="str">
            <v>SI1615_20260707</v>
          </cell>
          <cell r="B3" t="str">
            <v>유재호</v>
          </cell>
          <cell r="C3">
            <v>46210</v>
          </cell>
          <cell r="D3" t="str">
            <v>설화수 진설명작크림 60ML (26AD 캡장식-하단링</v>
          </cell>
          <cell r="E3">
            <v>10</v>
          </cell>
          <cell r="H3">
            <v>90</v>
          </cell>
          <cell r="K3">
            <v>2</v>
          </cell>
          <cell r="N3">
            <v>22</v>
          </cell>
        </row>
        <row r="4">
          <cell r="A4" t="str">
            <v>SI1618_20260707</v>
          </cell>
          <cell r="B4" t="str">
            <v>한창구</v>
          </cell>
          <cell r="C4">
            <v>46210</v>
          </cell>
          <cell r="D4" t="str">
            <v>설화수 진설명작크림 60ML (26AD 내용기</v>
          </cell>
          <cell r="E4">
            <v>8</v>
          </cell>
          <cell r="H4">
            <v>95</v>
          </cell>
          <cell r="K4">
            <v>3</v>
          </cell>
          <cell r="N4">
            <v>15.1</v>
          </cell>
        </row>
        <row r="5">
          <cell r="A5" t="str">
            <v>SI1674_20260703</v>
          </cell>
          <cell r="B5" t="str">
            <v/>
          </cell>
          <cell r="C5" t="str">
            <v/>
          </cell>
          <cell r="D5" t="str">
            <v/>
          </cell>
          <cell r="E5">
            <v>10</v>
          </cell>
          <cell r="H5">
            <v>650</v>
          </cell>
          <cell r="K5">
            <v>0.5</v>
          </cell>
          <cell r="N5">
            <v>23.7</v>
          </cell>
        </row>
        <row r="6">
          <cell r="A6" t="str">
            <v>SI1617_20260629</v>
          </cell>
          <cell r="B6" t="str">
            <v>유재호</v>
          </cell>
          <cell r="C6">
            <v>46202</v>
          </cell>
          <cell r="D6" t="str">
            <v>설화수 진설명작크림 60ML (26AD 중용기</v>
          </cell>
          <cell r="E6">
            <v>10</v>
          </cell>
          <cell r="H6">
            <v>150</v>
          </cell>
          <cell r="K6">
            <v>3</v>
          </cell>
          <cell r="N6">
            <v>35.1</v>
          </cell>
        </row>
        <row r="7">
          <cell r="A7" t="str">
            <v>SI1618_20260629</v>
          </cell>
          <cell r="B7" t="str">
            <v>유재호</v>
          </cell>
          <cell r="C7">
            <v>46202</v>
          </cell>
          <cell r="D7" t="str">
            <v>설화수 진설명작크림 60ML (26AD 내용기</v>
          </cell>
          <cell r="E7">
            <v>10</v>
          </cell>
          <cell r="H7">
            <v>65</v>
          </cell>
          <cell r="K7">
            <v>2</v>
          </cell>
          <cell r="N7">
            <v>50</v>
          </cell>
        </row>
        <row r="8">
          <cell r="A8" t="str">
            <v>SI1619_20260625</v>
          </cell>
          <cell r="B8" t="str">
            <v>한창구</v>
          </cell>
          <cell r="C8">
            <v>46198</v>
          </cell>
          <cell r="D8" t="str">
            <v>설화수 진설명작크림 60ML (26AD 외용기</v>
          </cell>
          <cell r="E8">
            <v>10</v>
          </cell>
          <cell r="H8">
            <v>160</v>
          </cell>
          <cell r="K8">
            <v>15</v>
          </cell>
        </row>
        <row r="9">
          <cell r="A9" t="str">
            <v>SI1623_20260619</v>
          </cell>
          <cell r="B9" t="str">
            <v>장세래</v>
          </cell>
          <cell r="C9">
            <v>46192</v>
          </cell>
          <cell r="D9" t="str">
            <v>설화수 진설명작크림 리필 60ML (26AD 단캡</v>
          </cell>
          <cell r="E9">
            <v>10</v>
          </cell>
          <cell r="H9">
            <v>100</v>
          </cell>
          <cell r="K9">
            <v>6</v>
          </cell>
          <cell r="N9">
            <v>31</v>
          </cell>
        </row>
        <row r="10">
          <cell r="A10" t="str">
            <v>SI1615_20260618</v>
          </cell>
          <cell r="B10" t="str">
            <v>장세래</v>
          </cell>
          <cell r="C10">
            <v>46191</v>
          </cell>
          <cell r="D10" t="str">
            <v>설화수 진설명작크림 60ML (26AD 캡장식-하단링</v>
          </cell>
          <cell r="E10">
            <v>20</v>
          </cell>
          <cell r="H10">
            <v>100</v>
          </cell>
          <cell r="K10">
            <v>2.5</v>
          </cell>
          <cell r="N10">
            <v>30.5</v>
          </cell>
        </row>
        <row r="11">
          <cell r="A11" t="str">
            <v>SI1616_20260612</v>
          </cell>
          <cell r="B11">
            <v>0</v>
          </cell>
          <cell r="C11">
            <v>46185</v>
          </cell>
          <cell r="D11" t="str">
            <v>설화수 진설명작크림 60ML (26AD 사출덮개</v>
          </cell>
          <cell r="E11">
            <v>10</v>
          </cell>
          <cell r="H11">
            <v>135</v>
          </cell>
          <cell r="K11">
            <v>2</v>
          </cell>
          <cell r="N11">
            <v>5.6</v>
          </cell>
        </row>
        <row r="12">
          <cell r="A12" t="str">
            <v>SI1679_20260611</v>
          </cell>
          <cell r="B12" t="str">
            <v>장세래</v>
          </cell>
          <cell r="C12">
            <v>46184</v>
          </cell>
          <cell r="D12" t="str">
            <v>설화수 진설명작크림 60ML (27 AD)_암호 하케이스 사출</v>
          </cell>
          <cell r="E12">
            <v>10</v>
          </cell>
          <cell r="H12">
            <v>100</v>
          </cell>
          <cell r="K12">
            <v>2</v>
          </cell>
          <cell r="N12">
            <v>29.5</v>
          </cell>
        </row>
        <row r="13">
          <cell r="A13" t="str">
            <v>SI1678_20260611</v>
          </cell>
          <cell r="B13" t="str">
            <v>장세래</v>
          </cell>
          <cell r="C13">
            <v>46184</v>
          </cell>
          <cell r="D13" t="str">
            <v>설화수 진설명작크림 60ML (27 AD)_암호 상케이스 사출</v>
          </cell>
          <cell r="E13">
            <v>10</v>
          </cell>
          <cell r="H13">
            <v>90</v>
          </cell>
          <cell r="K13">
            <v>4</v>
          </cell>
          <cell r="N13">
            <v>15.8</v>
          </cell>
        </row>
        <row r="14">
          <cell r="A14" t="str">
            <v>SI1618_20260610</v>
          </cell>
          <cell r="B14" t="str">
            <v>장세래</v>
          </cell>
          <cell r="C14">
            <v>46183</v>
          </cell>
          <cell r="D14" t="str">
            <v>설화수 진설명작크림 60ML (26AD 내용기</v>
          </cell>
          <cell r="E14">
            <v>10</v>
          </cell>
          <cell r="H14">
            <v>75</v>
          </cell>
          <cell r="K14">
            <v>2</v>
          </cell>
          <cell r="N14">
            <v>31.17</v>
          </cell>
        </row>
        <row r="15">
          <cell r="A15" t="str">
            <v>SI1619_20260610</v>
          </cell>
          <cell r="B15" t="str">
            <v>장세래</v>
          </cell>
          <cell r="C15">
            <v>46183</v>
          </cell>
          <cell r="D15" t="str">
            <v>설화수 진설명작크림 60ML (26AD 외용기</v>
          </cell>
          <cell r="E15">
            <v>10</v>
          </cell>
          <cell r="H15">
            <v>140</v>
          </cell>
          <cell r="K15">
            <v>15</v>
          </cell>
          <cell r="N15">
            <v>13.2</v>
          </cell>
        </row>
        <row r="16">
          <cell r="A16" t="str">
            <v>SI1618_20260610</v>
          </cell>
          <cell r="B16" t="str">
            <v>장세래</v>
          </cell>
          <cell r="C16">
            <v>46183</v>
          </cell>
          <cell r="D16" t="str">
            <v>설화수 진설명작크림 60ML (26AD 내용기</v>
          </cell>
          <cell r="E16">
            <v>10</v>
          </cell>
          <cell r="H16">
            <v>75</v>
          </cell>
          <cell r="K16">
            <v>2</v>
          </cell>
          <cell r="N16">
            <v>31.17</v>
          </cell>
        </row>
        <row r="17">
          <cell r="A17" t="str">
            <v>SI1619_20260608</v>
          </cell>
          <cell r="B17" t="str">
            <v>한창구</v>
          </cell>
          <cell r="C17">
            <v>46181</v>
          </cell>
          <cell r="D17" t="str">
            <v>설화수 진설명작크림 60ML (26AD 외용기</v>
          </cell>
          <cell r="E17">
            <v>10</v>
          </cell>
          <cell r="H17">
            <v>140</v>
          </cell>
          <cell r="K17">
            <v>15</v>
          </cell>
          <cell r="N17">
            <v>22.8</v>
          </cell>
        </row>
        <row r="18">
          <cell r="A18" t="str">
            <v>SI1620_20260609</v>
          </cell>
          <cell r="B18" t="str">
            <v>유재호</v>
          </cell>
          <cell r="C18">
            <v>46182</v>
          </cell>
          <cell r="D18" t="str">
            <v>설화수 진설명작크림 60ML (26AD 용기받침 사출</v>
          </cell>
          <cell r="E18">
            <v>8</v>
          </cell>
          <cell r="H18">
            <v>55</v>
          </cell>
          <cell r="K18">
            <v>2</v>
          </cell>
          <cell r="N18">
            <v>38</v>
          </cell>
        </row>
        <row r="19">
          <cell r="A19" t="str">
            <v>SI1621_20260609</v>
          </cell>
          <cell r="B19" t="str">
            <v>유재호</v>
          </cell>
          <cell r="C19">
            <v>46182</v>
          </cell>
          <cell r="D19" t="str">
            <v>설화수 진설명작크림 60ML (26AD 숄더장식 사출</v>
          </cell>
          <cell r="E19">
            <v>8</v>
          </cell>
          <cell r="H19">
            <v>100</v>
          </cell>
          <cell r="K19">
            <v>3</v>
          </cell>
          <cell r="N19">
            <v>24.5</v>
          </cell>
        </row>
        <row r="20">
          <cell r="A20" t="str">
            <v>SI1617_20260609</v>
          </cell>
          <cell r="B20" t="str">
            <v>유재호</v>
          </cell>
          <cell r="C20">
            <v>46182</v>
          </cell>
          <cell r="D20" t="str">
            <v>설화수 진설명작크림 60ML (26AD 중용기</v>
          </cell>
          <cell r="E20">
            <v>8</v>
          </cell>
          <cell r="H20">
            <v>80</v>
          </cell>
          <cell r="K20">
            <v>2</v>
          </cell>
          <cell r="N20">
            <v>28</v>
          </cell>
        </row>
        <row r="21">
          <cell r="A21" t="str">
            <v>SI1674_20260414</v>
          </cell>
          <cell r="B21" t="str">
            <v>장세래</v>
          </cell>
          <cell r="C21">
            <v>46126</v>
          </cell>
          <cell r="D21" t="str">
            <v>미니슬림쿠션 접시 사출</v>
          </cell>
          <cell r="E21">
            <v>10</v>
          </cell>
          <cell r="H21">
            <v>50</v>
          </cell>
          <cell r="K21">
            <v>2</v>
          </cell>
          <cell r="N21">
            <v>22.9</v>
          </cell>
        </row>
        <row r="22">
          <cell r="A22" t="str">
            <v>SI1675_20260414</v>
          </cell>
          <cell r="B22" t="str">
            <v>장세래</v>
          </cell>
          <cell r="C22">
            <v>46126</v>
          </cell>
          <cell r="D22" t="str">
            <v>미니슬림쿠션 중용기 덮개 사출</v>
          </cell>
          <cell r="E22">
            <v>10</v>
          </cell>
          <cell r="H22">
            <v>70</v>
          </cell>
          <cell r="K22">
            <v>3</v>
          </cell>
          <cell r="N22">
            <v>19.5</v>
          </cell>
        </row>
        <row r="23">
          <cell r="A23" t="str">
            <v>SI1676_20260414</v>
          </cell>
          <cell r="B23" t="str">
            <v>장세래</v>
          </cell>
          <cell r="C23">
            <v>46126</v>
          </cell>
          <cell r="D23" t="str">
            <v>미니슬림쿠션 중용기 사출</v>
          </cell>
          <cell r="E23">
            <v>10</v>
          </cell>
          <cell r="H23">
            <v>70</v>
          </cell>
          <cell r="K23">
            <v>3</v>
          </cell>
          <cell r="N23">
            <v>21.1</v>
          </cell>
        </row>
        <row r="24">
          <cell r="A24" t="str">
            <v>SI1673_20260413</v>
          </cell>
          <cell r="B24" t="str">
            <v>장세래</v>
          </cell>
          <cell r="C24">
            <v>46125</v>
          </cell>
          <cell r="D24" t="str">
            <v>미니슬림쿠션 하케이스 사출</v>
          </cell>
          <cell r="E24">
            <v>10</v>
          </cell>
          <cell r="H24">
            <v>80</v>
          </cell>
          <cell r="K24">
            <v>3</v>
          </cell>
          <cell r="N24">
            <v>22.6</v>
          </cell>
        </row>
        <row r="25">
          <cell r="A25" t="str">
            <v>SI1678_20260413</v>
          </cell>
          <cell r="B25" t="str">
            <v>장세래</v>
          </cell>
          <cell r="C25">
            <v>46125</v>
          </cell>
          <cell r="D25" t="str">
            <v>설화수 진설명작크림 60ML (27 AD)_암호 상케이스 사출</v>
          </cell>
          <cell r="E25">
            <v>10</v>
          </cell>
          <cell r="H25">
            <v>80</v>
          </cell>
          <cell r="K25">
            <v>4</v>
          </cell>
          <cell r="N25">
            <v>36.700000000000003</v>
          </cell>
        </row>
        <row r="26">
          <cell r="A26" t="str">
            <v>SI1679_20260413</v>
          </cell>
          <cell r="B26" t="str">
            <v>장세래</v>
          </cell>
          <cell r="C26">
            <v>46125</v>
          </cell>
          <cell r="D26" t="str">
            <v>설화수 진설명작크림 60ML (27 AD)_암호 하케이스 사출</v>
          </cell>
          <cell r="E26">
            <v>10</v>
          </cell>
          <cell r="H26">
            <v>80</v>
          </cell>
          <cell r="K26">
            <v>2</v>
          </cell>
          <cell r="N26">
            <v>33.5</v>
          </cell>
        </row>
        <row r="27">
          <cell r="A27" t="str">
            <v>SI1676_20260403</v>
          </cell>
          <cell r="B27" t="str">
            <v>장세래</v>
          </cell>
          <cell r="C27">
            <v>46115</v>
          </cell>
          <cell r="D27" t="str">
            <v>미니슬림쿠션 중용기 사출</v>
          </cell>
          <cell r="E27">
            <v>10</v>
          </cell>
          <cell r="H27">
            <v>70</v>
          </cell>
          <cell r="K27">
            <v>3</v>
          </cell>
          <cell r="N27">
            <v>19.12</v>
          </cell>
        </row>
        <row r="28">
          <cell r="A28" t="str">
            <v>SI1673_20260401</v>
          </cell>
          <cell r="B28" t="str">
            <v>장세래</v>
          </cell>
          <cell r="C28">
            <v>46113</v>
          </cell>
          <cell r="D28" t="str">
            <v>미니슬림쿠션 하케이스 사출</v>
          </cell>
          <cell r="E28">
            <v>10</v>
          </cell>
          <cell r="H28">
            <v>80</v>
          </cell>
          <cell r="K28">
            <v>2</v>
          </cell>
          <cell r="N28">
            <v>21.8</v>
          </cell>
        </row>
        <row r="29">
          <cell r="A29" t="str">
            <v>SI1673_20260330</v>
          </cell>
          <cell r="B29" t="str">
            <v>한창구</v>
          </cell>
          <cell r="C29">
            <v>46111</v>
          </cell>
          <cell r="D29" t="str">
            <v>미니슬림쿠션 하케이스 사출</v>
          </cell>
          <cell r="E29">
            <v>10</v>
          </cell>
          <cell r="H29">
            <v>70</v>
          </cell>
          <cell r="K29">
            <v>1</v>
          </cell>
        </row>
        <row r="30">
          <cell r="A30" t="str">
            <v>SI1672_20260330</v>
          </cell>
          <cell r="B30" t="str">
            <v>한창구</v>
          </cell>
          <cell r="C30">
            <v>46111</v>
          </cell>
          <cell r="D30" t="str">
            <v>미니슬림쿠션 상케이스 사출</v>
          </cell>
          <cell r="E30">
            <v>10</v>
          </cell>
          <cell r="H30">
            <v>120</v>
          </cell>
          <cell r="K30">
            <v>3</v>
          </cell>
        </row>
        <row r="31">
          <cell r="A31" t="str">
            <v>SI1668_20260327</v>
          </cell>
          <cell r="B31" t="str">
            <v>장세래</v>
          </cell>
          <cell r="C31">
            <v>46108</v>
          </cell>
          <cell r="D31" t="str">
            <v>마몽드 어메이징딥 민트클렌징밤 90ml(26AD 원터치단캡 사출</v>
          </cell>
          <cell r="E31">
            <v>10</v>
          </cell>
          <cell r="H31">
            <v>60</v>
          </cell>
          <cell r="K31">
            <v>3</v>
          </cell>
          <cell r="N31">
            <v>21.3</v>
          </cell>
        </row>
        <row r="32">
          <cell r="A32" t="str">
            <v>SI1621_20260327</v>
          </cell>
          <cell r="B32" t="str">
            <v>한창구</v>
          </cell>
          <cell r="C32">
            <v>46108</v>
          </cell>
          <cell r="D32" t="str">
            <v>설화수 진설명작크림 60ML (26AD 숄더장식 사출</v>
          </cell>
          <cell r="E32">
            <v>10</v>
          </cell>
          <cell r="H32">
            <v>135</v>
          </cell>
          <cell r="K32">
            <v>5</v>
          </cell>
        </row>
        <row r="33">
          <cell r="A33" t="str">
            <v>SI1617_20260326</v>
          </cell>
          <cell r="B33" t="str">
            <v>한창구</v>
          </cell>
          <cell r="C33">
            <v>46107</v>
          </cell>
          <cell r="D33" t="str">
            <v>설화수 진설명작크림 60ML (26AD 중용기</v>
          </cell>
          <cell r="E33">
            <v>10</v>
          </cell>
          <cell r="H33">
            <v>120</v>
          </cell>
          <cell r="K33">
            <v>5</v>
          </cell>
        </row>
        <row r="34">
          <cell r="A34" t="str">
            <v>SI1675_20260326</v>
          </cell>
          <cell r="B34" t="str">
            <v>장세래</v>
          </cell>
          <cell r="C34">
            <v>46107</v>
          </cell>
          <cell r="D34" t="str">
            <v>미니슬림쿠션 중용기 덮개 사출</v>
          </cell>
          <cell r="E34">
            <v>10</v>
          </cell>
          <cell r="H34">
            <v>70</v>
          </cell>
          <cell r="K34">
            <v>3</v>
          </cell>
          <cell r="N34">
            <v>18.8</v>
          </cell>
        </row>
        <row r="35">
          <cell r="A35" t="str">
            <v>SI1674_20260326</v>
          </cell>
          <cell r="B35" t="str">
            <v>장세래</v>
          </cell>
          <cell r="C35">
            <v>46107</v>
          </cell>
          <cell r="D35" t="str">
            <v>미니슬림쿠션 접시 사출</v>
          </cell>
          <cell r="E35">
            <v>10</v>
          </cell>
          <cell r="H35">
            <v>40</v>
          </cell>
          <cell r="K35">
            <v>1.5</v>
          </cell>
          <cell r="N35">
            <v>23.6</v>
          </cell>
        </row>
        <row r="36">
          <cell r="A36" t="str">
            <v>SI1620_20260326</v>
          </cell>
          <cell r="B36" t="str">
            <v>한창구</v>
          </cell>
          <cell r="C36">
            <v>46107</v>
          </cell>
          <cell r="D36" t="str">
            <v>설화수 진설명작크림 60ML (26AD 용기받침 사출</v>
          </cell>
          <cell r="E36">
            <v>10</v>
          </cell>
          <cell r="H36">
            <v>95</v>
          </cell>
          <cell r="K36">
            <v>4</v>
          </cell>
        </row>
        <row r="37">
          <cell r="A37" t="str">
            <v>SI1679_20260325</v>
          </cell>
          <cell r="B37" t="str">
            <v>장세래</v>
          </cell>
          <cell r="C37">
            <v>46106</v>
          </cell>
          <cell r="D37" t="str">
            <v>설화수 진설명작크림 60ML (27 AD)_암호 하케이스 사출</v>
          </cell>
          <cell r="E37">
            <v>10</v>
          </cell>
          <cell r="H37">
            <v>80</v>
          </cell>
          <cell r="K37">
            <v>2</v>
          </cell>
          <cell r="N37">
            <v>14.1</v>
          </cell>
        </row>
        <row r="38">
          <cell r="A38" t="str">
            <v>SI1672_20260320</v>
          </cell>
          <cell r="B38" t="str">
            <v>장세래</v>
          </cell>
          <cell r="C38">
            <v>46101</v>
          </cell>
          <cell r="D38" t="str">
            <v>미니슬림쿠션 상케이스 사출</v>
          </cell>
          <cell r="E38">
            <v>10</v>
          </cell>
          <cell r="H38">
            <v>100</v>
          </cell>
          <cell r="K38">
            <v>3</v>
          </cell>
          <cell r="N38">
            <v>18.8</v>
          </cell>
        </row>
        <row r="39">
          <cell r="A39" t="str">
            <v>SI1674_20260318</v>
          </cell>
          <cell r="B39" t="str">
            <v>장세래</v>
          </cell>
          <cell r="C39">
            <v>46099</v>
          </cell>
          <cell r="D39" t="str">
            <v>미니슬림쿠션 접시 사출</v>
          </cell>
          <cell r="E39">
            <v>10</v>
          </cell>
          <cell r="H39">
            <v>65</v>
          </cell>
          <cell r="K39">
            <v>2</v>
          </cell>
          <cell r="N39">
            <v>21</v>
          </cell>
        </row>
        <row r="40">
          <cell r="A40" t="str">
            <v>SI1660_20260317</v>
          </cell>
          <cell r="B40" t="str">
            <v>유재호</v>
          </cell>
          <cell r="C40">
            <v>46098</v>
          </cell>
          <cell r="D40" t="str">
            <v>오딧세이 블랙 로션 130ML (26 EC)(착인) 내캡 사출</v>
          </cell>
          <cell r="E40">
            <v>10</v>
          </cell>
          <cell r="H40">
            <v>50</v>
          </cell>
          <cell r="K40">
            <v>2</v>
          </cell>
          <cell r="N40">
            <v>29.8</v>
          </cell>
        </row>
        <row r="41">
          <cell r="A41" t="str">
            <v>SI1673_20260320</v>
          </cell>
          <cell r="B41" t="str">
            <v>장세래</v>
          </cell>
          <cell r="C41">
            <v>46101</v>
          </cell>
          <cell r="D41" t="str">
            <v>미니슬림쿠션 하케이스 사출</v>
          </cell>
          <cell r="E41">
            <v>10</v>
          </cell>
          <cell r="H41">
            <v>60</v>
          </cell>
          <cell r="K41">
            <v>3</v>
          </cell>
          <cell r="N41">
            <v>21.4</v>
          </cell>
        </row>
        <row r="42">
          <cell r="A42" t="str">
            <v>SI1671_20260311</v>
          </cell>
          <cell r="B42" t="str">
            <v>한창구</v>
          </cell>
          <cell r="C42">
            <v>46092</v>
          </cell>
          <cell r="D42" t="str">
            <v>마몽드 어메이징딥 민트클렌징밤 90ml(26AD 단용기 사출</v>
          </cell>
          <cell r="E42">
            <v>10</v>
          </cell>
          <cell r="H42">
            <v>40</v>
          </cell>
          <cell r="K42">
            <v>15</v>
          </cell>
        </row>
        <row r="43">
          <cell r="A43" t="str">
            <v>SI1668_20260311</v>
          </cell>
          <cell r="B43" t="str">
            <v>장세래</v>
          </cell>
          <cell r="C43">
            <v>46092</v>
          </cell>
          <cell r="D43" t="str">
            <v>마몽드 어메이징딥 민트클렌징밤 90ml(26AD 원터치단캡 사출</v>
          </cell>
          <cell r="E43">
            <v>10</v>
          </cell>
          <cell r="H43">
            <v>60</v>
          </cell>
          <cell r="K43">
            <v>3</v>
          </cell>
          <cell r="N43">
            <v>16.5</v>
          </cell>
        </row>
        <row r="44">
          <cell r="A44" t="str">
            <v>SI1632_20260310</v>
          </cell>
          <cell r="B44" t="str">
            <v>유재호</v>
          </cell>
          <cell r="C44">
            <v>46091</v>
          </cell>
          <cell r="D44" t="str">
            <v>설화수 진설명작크림 (견) 5ML (AD 단용기</v>
          </cell>
          <cell r="E44">
            <v>10</v>
          </cell>
          <cell r="H44">
            <v>110</v>
          </cell>
          <cell r="K44">
            <v>3</v>
          </cell>
          <cell r="N44">
            <v>21.5</v>
          </cell>
        </row>
        <row r="45">
          <cell r="A45" t="str">
            <v>SI1671_20260306</v>
          </cell>
          <cell r="B45" t="str">
            <v>장세래</v>
          </cell>
          <cell r="C45">
            <v>46087</v>
          </cell>
          <cell r="D45" t="str">
            <v>마몽드 어메이징딥 민트클렌징밤 90ml(26AD 단용기 사출</v>
          </cell>
          <cell r="E45">
            <v>10</v>
          </cell>
          <cell r="H45">
            <v>70</v>
          </cell>
          <cell r="K45">
            <v>15</v>
          </cell>
          <cell r="N45">
            <v>8.9</v>
          </cell>
        </row>
        <row r="46">
          <cell r="A46" t="str">
            <v>SI1668_20260306</v>
          </cell>
          <cell r="B46" t="str">
            <v>장세래</v>
          </cell>
          <cell r="C46">
            <v>46087</v>
          </cell>
          <cell r="D46" t="str">
            <v>마몽드 어메이징딥 민트클렌징밤 90ml(26AD 원터치단캡 사출</v>
          </cell>
          <cell r="E46">
            <v>10</v>
          </cell>
          <cell r="H46">
            <v>60</v>
          </cell>
          <cell r="K46">
            <v>2.5</v>
          </cell>
          <cell r="N46">
            <v>21.3</v>
          </cell>
        </row>
        <row r="47">
          <cell r="A47" t="str">
            <v>SI1674_20260305</v>
          </cell>
          <cell r="B47" t="str">
            <v>장세래</v>
          </cell>
          <cell r="C47">
            <v>46086</v>
          </cell>
          <cell r="D47" t="str">
            <v>미니슬림쿠션 접시 사출</v>
          </cell>
          <cell r="E47">
            <v>10</v>
          </cell>
          <cell r="H47">
            <v>80</v>
          </cell>
          <cell r="K47">
            <v>2</v>
          </cell>
          <cell r="N47">
            <v>20.059999999999999</v>
          </cell>
        </row>
        <row r="48">
          <cell r="A48" t="str">
            <v>SI1675_20260305</v>
          </cell>
          <cell r="B48" t="str">
            <v>장세래</v>
          </cell>
          <cell r="C48">
            <v>46086</v>
          </cell>
          <cell r="D48" t="str">
            <v>미니슬림쿠션 중용기 덮개 사출</v>
          </cell>
          <cell r="E48">
            <v>10</v>
          </cell>
          <cell r="H48">
            <v>80</v>
          </cell>
          <cell r="K48">
            <v>3</v>
          </cell>
          <cell r="N48">
            <v>15.5</v>
          </cell>
        </row>
        <row r="49">
          <cell r="A49" t="str">
            <v>SI1676_20260305</v>
          </cell>
          <cell r="B49" t="str">
            <v>장세래</v>
          </cell>
          <cell r="C49">
            <v>46086</v>
          </cell>
          <cell r="D49" t="str">
            <v>미니슬림쿠션 중용기 사출</v>
          </cell>
          <cell r="E49">
            <v>10</v>
          </cell>
          <cell r="H49">
            <v>70</v>
          </cell>
          <cell r="K49">
            <v>3</v>
          </cell>
          <cell r="N49">
            <v>19.95</v>
          </cell>
        </row>
        <row r="50">
          <cell r="A50" t="str">
            <v>SI1679_20260304</v>
          </cell>
          <cell r="B50" t="str">
            <v>장세래</v>
          </cell>
          <cell r="C50">
            <v>46085</v>
          </cell>
          <cell r="D50" t="str">
            <v>설화수 진설명작크림 60ML (27 AD)_암호 하케이스 사출</v>
          </cell>
          <cell r="E50">
            <v>10</v>
          </cell>
          <cell r="H50">
            <v>80</v>
          </cell>
          <cell r="K50">
            <v>2</v>
          </cell>
          <cell r="N50">
            <v>35.47</v>
          </cell>
        </row>
        <row r="51">
          <cell r="A51" t="str">
            <v>SI1673_20260304</v>
          </cell>
          <cell r="B51" t="str">
            <v>장세래</v>
          </cell>
          <cell r="C51">
            <v>46085</v>
          </cell>
          <cell r="D51" t="str">
            <v>미니슬림쿠션 하케이스 사출</v>
          </cell>
          <cell r="E51">
            <v>10</v>
          </cell>
          <cell r="H51">
            <v>80</v>
          </cell>
          <cell r="K51">
            <v>2</v>
          </cell>
          <cell r="N51">
            <v>21.8</v>
          </cell>
        </row>
        <row r="52">
          <cell r="A52" t="str">
            <v>SI1672_20260304</v>
          </cell>
          <cell r="B52" t="str">
            <v>장세래</v>
          </cell>
          <cell r="C52">
            <v>46085</v>
          </cell>
          <cell r="D52" t="str">
            <v>미니슬림쿠션 상케이스 사출</v>
          </cell>
          <cell r="E52">
            <v>10</v>
          </cell>
          <cell r="H52">
            <v>110</v>
          </cell>
          <cell r="K52">
            <v>3</v>
          </cell>
          <cell r="N52">
            <v>17.399999999999999</v>
          </cell>
        </row>
        <row r="53">
          <cell r="A53" t="str">
            <v>SI1678_20260225</v>
          </cell>
          <cell r="B53" t="str">
            <v>장세래</v>
          </cell>
          <cell r="C53">
            <v>46078</v>
          </cell>
          <cell r="D53" t="str">
            <v>설화수 진설명작크림 60ML (27 AD)_암호 상케이스 사출</v>
          </cell>
          <cell r="E53">
            <v>10</v>
          </cell>
          <cell r="H53">
            <v>60</v>
          </cell>
          <cell r="K53">
            <v>4</v>
          </cell>
          <cell r="N53">
            <v>29.3</v>
          </cell>
        </row>
        <row r="54">
          <cell r="A54" t="str">
            <v>SI1616_20260225</v>
          </cell>
          <cell r="B54">
            <v>0</v>
          </cell>
          <cell r="C54">
            <v>46078</v>
          </cell>
          <cell r="D54" t="str">
            <v>설화수 진설명작크림 60ML (26AD 사출덮개</v>
          </cell>
          <cell r="E54">
            <v>10</v>
          </cell>
          <cell r="H54">
            <v>135</v>
          </cell>
          <cell r="K54">
            <v>2</v>
          </cell>
          <cell r="N54">
            <v>5.42</v>
          </cell>
        </row>
        <row r="55">
          <cell r="A55" t="str">
            <v>SI1633_20260220</v>
          </cell>
          <cell r="B55" t="str">
            <v>한창구</v>
          </cell>
          <cell r="C55">
            <v>46073</v>
          </cell>
          <cell r="D55" t="str">
            <v>설화수 진설명작크림 (견) 5ML (AD 용기받침</v>
          </cell>
          <cell r="E55">
            <v>10</v>
          </cell>
          <cell r="H55">
            <v>110</v>
          </cell>
          <cell r="K55">
            <v>4</v>
          </cell>
        </row>
        <row r="56">
          <cell r="A56" t="str">
            <v>SI1674_20260213</v>
          </cell>
          <cell r="B56" t="str">
            <v>장세래</v>
          </cell>
          <cell r="C56">
            <v>46066</v>
          </cell>
          <cell r="D56" t="str">
            <v>미니슬림쿠션 접시 사출</v>
          </cell>
          <cell r="E56">
            <v>10</v>
          </cell>
          <cell r="H56">
            <v>40</v>
          </cell>
          <cell r="K56">
            <v>20</v>
          </cell>
          <cell r="N56">
            <v>14.3</v>
          </cell>
        </row>
        <row r="57">
          <cell r="A57" t="str">
            <v>SI1640_20260213</v>
          </cell>
          <cell r="B57" t="str">
            <v>한창구</v>
          </cell>
          <cell r="C57">
            <v>46066</v>
          </cell>
          <cell r="D57" t="str">
            <v>헤라 시그니아 바이탈리프팅크림 소용량 15ml 26AD 내캡</v>
          </cell>
          <cell r="E57">
            <v>10</v>
          </cell>
          <cell r="H57">
            <v>60</v>
          </cell>
          <cell r="K57" t="str">
            <v>1.2/2.0</v>
          </cell>
        </row>
        <row r="58">
          <cell r="A58" t="str">
            <v>SI1676_20260210</v>
          </cell>
          <cell r="B58" t="str">
            <v>장세래</v>
          </cell>
          <cell r="C58">
            <v>46063</v>
          </cell>
          <cell r="D58" t="str">
            <v>미니슬림쿠션 중용기 사출</v>
          </cell>
          <cell r="E58">
            <v>10</v>
          </cell>
          <cell r="F58">
            <v>2</v>
          </cell>
          <cell r="H58">
            <v>50</v>
          </cell>
          <cell r="I58">
            <v>10</v>
          </cell>
          <cell r="K58">
            <v>2</v>
          </cell>
          <cell r="L58">
            <v>0.5</v>
          </cell>
          <cell r="N58">
            <v>13.2</v>
          </cell>
        </row>
        <row r="59">
          <cell r="A59" t="str">
            <v>SI1668_20260210</v>
          </cell>
          <cell r="B59" t="str">
            <v>장세래</v>
          </cell>
          <cell r="C59">
            <v>46063</v>
          </cell>
          <cell r="D59" t="str">
            <v>마몽드 어메이징딥 민트클렌징밤 90ml(26AD 원터치단캡 사출</v>
          </cell>
          <cell r="E59">
            <v>10</v>
          </cell>
          <cell r="H59">
            <v>60</v>
          </cell>
          <cell r="K59">
            <v>2.5</v>
          </cell>
          <cell r="N59">
            <v>20.3</v>
          </cell>
        </row>
        <row r="60">
          <cell r="A60" t="str">
            <v>SI1616_20260209</v>
          </cell>
          <cell r="B60" t="str">
            <v>이종운</v>
          </cell>
          <cell r="C60">
            <v>46062</v>
          </cell>
          <cell r="D60" t="str">
            <v>설화수 진설명작크림 60ML (26AD 사출덮개</v>
          </cell>
          <cell r="E60">
            <v>10</v>
          </cell>
          <cell r="F60">
            <v>10</v>
          </cell>
          <cell r="H60">
            <v>140</v>
          </cell>
          <cell r="I60">
            <v>60</v>
          </cell>
          <cell r="J60">
            <v>10</v>
          </cell>
          <cell r="K60">
            <v>3</v>
          </cell>
          <cell r="L60">
            <v>2</v>
          </cell>
          <cell r="M60">
            <v>0.5</v>
          </cell>
          <cell r="N60">
            <v>12</v>
          </cell>
        </row>
        <row r="61">
          <cell r="A61" t="str">
            <v>SI1629_20260209</v>
          </cell>
          <cell r="B61" t="str">
            <v>이종운</v>
          </cell>
          <cell r="C61">
            <v>46062</v>
          </cell>
          <cell r="D61" t="str">
            <v>설화수 진설명작크림 (견) 10ML (AD 사출덮개</v>
          </cell>
          <cell r="E61">
            <v>10</v>
          </cell>
          <cell r="H61">
            <v>95</v>
          </cell>
          <cell r="K61">
            <v>5</v>
          </cell>
          <cell r="N61" t="str">
            <v>(29)6.2</v>
          </cell>
        </row>
        <row r="62">
          <cell r="A62" t="str">
            <v>SI1634_20260209</v>
          </cell>
          <cell r="B62" t="str">
            <v>이종운</v>
          </cell>
          <cell r="C62">
            <v>46062</v>
          </cell>
          <cell r="D62" t="str">
            <v>설화수 진설명작크림 (견) 5ML (AD 사출덮개</v>
          </cell>
          <cell r="E62">
            <v>10</v>
          </cell>
          <cell r="H62">
            <v>110</v>
          </cell>
          <cell r="K62">
            <v>20</v>
          </cell>
          <cell r="N62">
            <v>8.4600000000000009</v>
          </cell>
        </row>
        <row r="63">
          <cell r="A63" t="str">
            <v>SI1667_20260206</v>
          </cell>
          <cell r="B63">
            <v>0</v>
          </cell>
          <cell r="C63">
            <v>46059</v>
          </cell>
          <cell r="D63" t="str">
            <v>오딧세이 로맨틱더클래식 스킨리파이너130ML(26EC(착인 내캡</v>
          </cell>
          <cell r="E63">
            <v>10</v>
          </cell>
          <cell r="H63" t="str">
            <v>70/90</v>
          </cell>
          <cell r="K63">
            <v>4</v>
          </cell>
        </row>
        <row r="64">
          <cell r="A64" t="str">
            <v>SI1674_20260204</v>
          </cell>
          <cell r="B64" t="str">
            <v>장세래</v>
          </cell>
          <cell r="C64">
            <v>46057</v>
          </cell>
          <cell r="D64" t="str">
            <v>미니슬림쿠션 접시 사출</v>
          </cell>
          <cell r="E64">
            <v>10</v>
          </cell>
          <cell r="F64">
            <v>5</v>
          </cell>
          <cell r="H64">
            <v>60</v>
          </cell>
          <cell r="I64">
            <v>10</v>
          </cell>
          <cell r="K64">
            <v>1.5</v>
          </cell>
          <cell r="L64">
            <v>0.5</v>
          </cell>
          <cell r="N64">
            <v>14</v>
          </cell>
        </row>
        <row r="65">
          <cell r="A65" t="str">
            <v>SI1675_20260203</v>
          </cell>
          <cell r="B65" t="str">
            <v>장세래</v>
          </cell>
          <cell r="C65">
            <v>46056</v>
          </cell>
          <cell r="D65" t="str">
            <v>미니슬림쿠션 중용기 덮개 사출</v>
          </cell>
          <cell r="E65">
            <v>10</v>
          </cell>
          <cell r="F65">
            <v>2</v>
          </cell>
          <cell r="H65">
            <v>80</v>
          </cell>
          <cell r="I65">
            <v>10</v>
          </cell>
          <cell r="K65">
            <v>3</v>
          </cell>
          <cell r="L65">
            <v>0.5</v>
          </cell>
          <cell r="N65">
            <v>11.1</v>
          </cell>
        </row>
        <row r="66">
          <cell r="A66" t="str">
            <v>SI1676_20260203</v>
          </cell>
          <cell r="B66" t="str">
            <v>장세래</v>
          </cell>
          <cell r="C66">
            <v>46056</v>
          </cell>
          <cell r="D66" t="str">
            <v>미니슬림쿠션 중용기 사출</v>
          </cell>
          <cell r="E66">
            <v>10</v>
          </cell>
          <cell r="F66">
            <v>5</v>
          </cell>
          <cell r="H66">
            <v>60</v>
          </cell>
          <cell r="I66">
            <v>10</v>
          </cell>
          <cell r="K66">
            <v>2</v>
          </cell>
          <cell r="L66">
            <v>0.5</v>
          </cell>
          <cell r="N66">
            <v>13.5</v>
          </cell>
        </row>
        <row r="67">
          <cell r="A67" t="str">
            <v>SI1673_20260202</v>
          </cell>
          <cell r="B67" t="str">
            <v>장세래</v>
          </cell>
          <cell r="C67">
            <v>46055</v>
          </cell>
          <cell r="D67" t="str">
            <v>미니슬림쿠션 하케이스 사출</v>
          </cell>
          <cell r="E67">
            <v>10</v>
          </cell>
          <cell r="F67">
            <v>5</v>
          </cell>
          <cell r="H67">
            <v>100</v>
          </cell>
          <cell r="I67">
            <v>10</v>
          </cell>
          <cell r="K67">
            <v>3</v>
          </cell>
          <cell r="L67">
            <v>0.5</v>
          </cell>
          <cell r="N67">
            <v>22</v>
          </cell>
        </row>
        <row r="68">
          <cell r="A68" t="str">
            <v>SI1672_20260202</v>
          </cell>
          <cell r="B68" t="str">
            <v>장세래</v>
          </cell>
          <cell r="C68">
            <v>46055</v>
          </cell>
          <cell r="D68" t="str">
            <v>미니슬림쿠션 상케이스 사출</v>
          </cell>
          <cell r="E68">
            <v>10</v>
          </cell>
          <cell r="F68">
            <v>5</v>
          </cell>
          <cell r="H68">
            <v>120</v>
          </cell>
          <cell r="I68">
            <v>10</v>
          </cell>
          <cell r="K68">
            <v>4</v>
          </cell>
          <cell r="L68">
            <v>0.5</v>
          </cell>
          <cell r="N68">
            <v>19</v>
          </cell>
        </row>
        <row r="69">
          <cell r="A69" t="str">
            <v>SI1675_20260130</v>
          </cell>
          <cell r="B69" t="str">
            <v>장세래</v>
          </cell>
          <cell r="C69">
            <v>46052</v>
          </cell>
          <cell r="D69" t="str">
            <v>미니슬림쿠션 중용기 덮개 사출</v>
          </cell>
          <cell r="E69">
            <v>10</v>
          </cell>
          <cell r="F69">
            <v>2</v>
          </cell>
          <cell r="H69">
            <v>80</v>
          </cell>
          <cell r="I69">
            <v>10</v>
          </cell>
          <cell r="K69">
            <v>3</v>
          </cell>
          <cell r="L69">
            <v>0.5</v>
          </cell>
          <cell r="N69">
            <v>11.3</v>
          </cell>
        </row>
        <row r="70">
          <cell r="A70" t="str">
            <v>SI1676_20260130</v>
          </cell>
          <cell r="B70" t="str">
            <v>장세래</v>
          </cell>
          <cell r="C70">
            <v>46052</v>
          </cell>
          <cell r="D70" t="str">
            <v>미니슬림쿠션 중용기 사출</v>
          </cell>
          <cell r="E70">
            <v>10</v>
          </cell>
          <cell r="F70">
            <v>2</v>
          </cell>
          <cell r="H70">
            <v>70</v>
          </cell>
          <cell r="I70">
            <v>10</v>
          </cell>
          <cell r="K70">
            <v>2</v>
          </cell>
          <cell r="L70">
            <v>0.5</v>
          </cell>
          <cell r="N70">
            <v>14.4</v>
          </cell>
        </row>
        <row r="71">
          <cell r="A71" t="str">
            <v>SI1629_20260128</v>
          </cell>
          <cell r="B71" t="str">
            <v>한창구</v>
          </cell>
          <cell r="C71">
            <v>46050</v>
          </cell>
          <cell r="D71" t="str">
            <v>설화수 진설명작크림 (견) 10ML (AD 사출덮개</v>
          </cell>
          <cell r="E71">
            <v>10</v>
          </cell>
          <cell r="H71">
            <v>60</v>
          </cell>
          <cell r="K71">
            <v>6</v>
          </cell>
          <cell r="N71">
            <v>27</v>
          </cell>
        </row>
        <row r="72">
          <cell r="A72" t="str">
            <v>SI1671_20260126</v>
          </cell>
          <cell r="B72" t="str">
            <v>유재호</v>
          </cell>
          <cell r="C72">
            <v>46048</v>
          </cell>
          <cell r="D72" t="str">
            <v>마몽드 어메이징딥 민트클렌징밤 90ml(26AD 단용기 사출</v>
          </cell>
          <cell r="E72">
            <v>10</v>
          </cell>
          <cell r="F72">
            <v>5</v>
          </cell>
          <cell r="H72">
            <v>60</v>
          </cell>
          <cell r="I72">
            <v>20</v>
          </cell>
          <cell r="K72">
            <v>15</v>
          </cell>
          <cell r="N72">
            <v>12</v>
          </cell>
        </row>
        <row r="73">
          <cell r="A73" t="str">
            <v>SI1673_20260123</v>
          </cell>
          <cell r="B73" t="str">
            <v>장세래</v>
          </cell>
          <cell r="C73">
            <v>46045</v>
          </cell>
          <cell r="D73" t="str">
            <v>미니슬림쿠션 하케이스 사출</v>
          </cell>
          <cell r="E73">
            <v>10</v>
          </cell>
          <cell r="F73">
            <v>2</v>
          </cell>
          <cell r="H73">
            <v>100</v>
          </cell>
          <cell r="I73">
            <v>10</v>
          </cell>
          <cell r="K73">
            <v>3</v>
          </cell>
          <cell r="L73">
            <v>0.5</v>
          </cell>
          <cell r="N73">
            <v>18.8</v>
          </cell>
        </row>
        <row r="74">
          <cell r="A74" t="str">
            <v>SI1672_20260123</v>
          </cell>
          <cell r="B74" t="str">
            <v>장세래</v>
          </cell>
          <cell r="C74">
            <v>46045</v>
          </cell>
          <cell r="D74" t="str">
            <v>미니슬림쿠션 상케이스 사출</v>
          </cell>
          <cell r="E74">
            <v>10</v>
          </cell>
          <cell r="F74">
            <v>2</v>
          </cell>
          <cell r="H74">
            <v>160</v>
          </cell>
          <cell r="I74">
            <v>10</v>
          </cell>
          <cell r="K74">
            <v>3</v>
          </cell>
          <cell r="L74">
            <v>0.5</v>
          </cell>
          <cell r="N74">
            <v>12.5</v>
          </cell>
        </row>
        <row r="75">
          <cell r="A75" t="str">
            <v>SI1675_20260123</v>
          </cell>
          <cell r="B75" t="str">
            <v>장세래</v>
          </cell>
          <cell r="C75">
            <v>46045</v>
          </cell>
          <cell r="D75" t="str">
            <v>미니슬림쿠션 중용기 덮개 사출</v>
          </cell>
          <cell r="E75">
            <v>10</v>
          </cell>
          <cell r="F75">
            <v>2</v>
          </cell>
          <cell r="H75">
            <v>70</v>
          </cell>
          <cell r="I75">
            <v>10</v>
          </cell>
          <cell r="K75">
            <v>3</v>
          </cell>
          <cell r="L75">
            <v>0.5</v>
          </cell>
          <cell r="N75">
            <v>18.600000000000001</v>
          </cell>
        </row>
        <row r="76">
          <cell r="A76" t="str">
            <v>SI1625_20260123</v>
          </cell>
          <cell r="B76" t="str">
            <v>한창구</v>
          </cell>
          <cell r="C76">
            <v>46045</v>
          </cell>
          <cell r="D76" t="str">
            <v>설화수 진설명작크림 (견) 10ML (AD 외캡</v>
          </cell>
          <cell r="E76">
            <v>10</v>
          </cell>
          <cell r="H76">
            <v>120</v>
          </cell>
          <cell r="K76">
            <v>4.5</v>
          </cell>
        </row>
        <row r="77">
          <cell r="A77" t="str">
            <v>SI1627_20260120</v>
          </cell>
          <cell r="B77" t="str">
            <v>한창구</v>
          </cell>
          <cell r="C77">
            <v>46042</v>
          </cell>
          <cell r="D77" t="str">
            <v>설화수 진설명작크림 (견) 10ML (AD 용기받침</v>
          </cell>
          <cell r="E77">
            <v>10</v>
          </cell>
          <cell r="H77">
            <v>95</v>
          </cell>
          <cell r="K77">
            <v>3</v>
          </cell>
        </row>
        <row r="78">
          <cell r="A78" t="str">
            <v>SI1614_20260116</v>
          </cell>
          <cell r="B78" t="str">
            <v>한창구</v>
          </cell>
          <cell r="C78">
            <v>46038</v>
          </cell>
          <cell r="D78" t="str">
            <v>설화수 진설명작크림 60ML (26AD 내캡</v>
          </cell>
          <cell r="E78">
            <v>5</v>
          </cell>
          <cell r="H78">
            <v>95</v>
          </cell>
          <cell r="K78">
            <v>4</v>
          </cell>
        </row>
        <row r="79">
          <cell r="A79" t="str">
            <v>SI1674_20260113</v>
          </cell>
          <cell r="B79" t="str">
            <v>장세래</v>
          </cell>
          <cell r="C79">
            <v>46035</v>
          </cell>
          <cell r="D79" t="str">
            <v>미니슬림쿠션 접시 사출</v>
          </cell>
          <cell r="E79">
            <v>10</v>
          </cell>
          <cell r="H79">
            <v>50</v>
          </cell>
          <cell r="K79">
            <v>1.5</v>
          </cell>
          <cell r="N79">
            <v>32.47</v>
          </cell>
        </row>
        <row r="80">
          <cell r="A80" t="str">
            <v>SI1673_20260113</v>
          </cell>
          <cell r="B80" t="str">
            <v>장세래</v>
          </cell>
          <cell r="C80">
            <v>46035</v>
          </cell>
          <cell r="D80" t="str">
            <v>미니슬림쿠션 하케이스 사출</v>
          </cell>
          <cell r="E80">
            <v>10</v>
          </cell>
          <cell r="H80">
            <v>90</v>
          </cell>
          <cell r="K80">
            <v>3</v>
          </cell>
          <cell r="N80">
            <v>30.83</v>
          </cell>
        </row>
        <row r="81">
          <cell r="A81" t="str">
            <v>SI1672_20260113</v>
          </cell>
          <cell r="B81" t="str">
            <v>장세래</v>
          </cell>
          <cell r="C81">
            <v>46035</v>
          </cell>
          <cell r="D81" t="str">
            <v>미니슬림쿠션 상케이스 사출</v>
          </cell>
          <cell r="E81">
            <v>10</v>
          </cell>
          <cell r="H81">
            <v>140</v>
          </cell>
          <cell r="K81">
            <v>3</v>
          </cell>
          <cell r="N81">
            <v>24.4</v>
          </cell>
        </row>
        <row r="82">
          <cell r="A82" t="str">
            <v>SI1669_20251218</v>
          </cell>
          <cell r="B82" t="str">
            <v>한창구</v>
          </cell>
          <cell r="C82">
            <v>46009</v>
          </cell>
          <cell r="D82" t="str">
            <v>마몽드 어메이징딥 민트클렌징밤 90ml(26AD 스파출러대 사출</v>
          </cell>
          <cell r="E82">
            <v>10</v>
          </cell>
          <cell r="H82">
            <v>120</v>
          </cell>
          <cell r="K82">
            <v>3</v>
          </cell>
          <cell r="N82">
            <v>28</v>
          </cell>
        </row>
        <row r="83">
          <cell r="A83" t="str">
            <v>SI1669_20260113</v>
          </cell>
          <cell r="B83" t="str">
            <v>남기갑</v>
          </cell>
          <cell r="C83">
            <v>46035</v>
          </cell>
          <cell r="D83" t="str">
            <v>마몽드 어메이징딥 민트클렌징밤 90ml(26AD 스파출러대 사출</v>
          </cell>
          <cell r="E83">
            <v>10</v>
          </cell>
          <cell r="H83">
            <v>90</v>
          </cell>
          <cell r="K83">
            <v>4</v>
          </cell>
          <cell r="N83">
            <v>37.4</v>
          </cell>
        </row>
        <row r="84">
          <cell r="A84" t="str">
            <v>SI1668_20260112</v>
          </cell>
          <cell r="B84" t="str">
            <v>유재호</v>
          </cell>
          <cell r="C84">
            <v>46034</v>
          </cell>
          <cell r="D84" t="str">
            <v>마몽드 어메이징딥 민트클렌징밤 90ml(26AD 원터치단캡 사출</v>
          </cell>
          <cell r="E84">
            <v>8</v>
          </cell>
          <cell r="H84">
            <v>60</v>
          </cell>
          <cell r="K84">
            <v>3</v>
          </cell>
          <cell r="N84">
            <v>48</v>
          </cell>
        </row>
        <row r="85">
          <cell r="A85" t="str">
            <v>SI1671_20260112</v>
          </cell>
          <cell r="B85" t="str">
            <v>장세래</v>
          </cell>
          <cell r="C85">
            <v>46034</v>
          </cell>
          <cell r="D85" t="str">
            <v>마몽드 어메이징딥 민트클렌징밤 90ml(26AD 단용기 사출</v>
          </cell>
          <cell r="E85">
            <v>10</v>
          </cell>
          <cell r="H85">
            <v>80</v>
          </cell>
          <cell r="K85">
            <v>5</v>
          </cell>
          <cell r="N85">
            <v>23.3</v>
          </cell>
        </row>
        <row r="86">
          <cell r="A86" t="str">
            <v>SI1661_20251225</v>
          </cell>
          <cell r="B86" t="str">
            <v>장세래</v>
          </cell>
          <cell r="C86">
            <v>46016</v>
          </cell>
          <cell r="D86" t="str">
            <v>해피바스 달잠 밀키라벤더 바디로션500g+괄사단품기획(OY 마사져대 사출</v>
          </cell>
          <cell r="E86">
            <v>3</v>
          </cell>
          <cell r="H86">
            <v>130</v>
          </cell>
          <cell r="K86">
            <v>30</v>
          </cell>
          <cell r="N86">
            <v>25.66</v>
          </cell>
        </row>
        <row r="87">
          <cell r="A87" t="str">
            <v>SI1626_20251223</v>
          </cell>
          <cell r="B87" t="str">
            <v>유재호</v>
          </cell>
          <cell r="C87">
            <v>46014</v>
          </cell>
          <cell r="D87" t="str">
            <v>설화수 진설명작크림 (견) 10ML (AD 내캡</v>
          </cell>
          <cell r="E87">
            <v>10</v>
          </cell>
          <cell r="H87">
            <v>55</v>
          </cell>
          <cell r="K87">
            <v>2</v>
          </cell>
          <cell r="N87">
            <v>16</v>
          </cell>
        </row>
        <row r="88">
          <cell r="A88" t="str">
            <v>SI1631_20251223</v>
          </cell>
          <cell r="B88" t="str">
            <v>유재호</v>
          </cell>
          <cell r="C88">
            <v>46014</v>
          </cell>
          <cell r="D88" t="str">
            <v>설화수 진설명작크림 (견) 5ML (AD 내캡</v>
          </cell>
          <cell r="E88">
            <v>10</v>
          </cell>
          <cell r="H88">
            <v>60</v>
          </cell>
          <cell r="K88">
            <v>2</v>
          </cell>
          <cell r="N88">
            <v>20</v>
          </cell>
        </row>
        <row r="89">
          <cell r="A89" t="str">
            <v>SI1671_20251222</v>
          </cell>
          <cell r="B89" t="str">
            <v>장세래</v>
          </cell>
          <cell r="C89">
            <v>46013</v>
          </cell>
          <cell r="D89" t="str">
            <v>마몽드 어메이징딥 민트클렌징밤 90ml(26AD 단용기 사출</v>
          </cell>
          <cell r="E89">
            <v>10</v>
          </cell>
          <cell r="H89">
            <v>70</v>
          </cell>
          <cell r="K89">
            <v>15</v>
          </cell>
          <cell r="N89">
            <v>8.9</v>
          </cell>
        </row>
        <row r="90">
          <cell r="A90" t="str">
            <v>SI1670_20251218</v>
          </cell>
          <cell r="B90" t="str">
            <v>유재호</v>
          </cell>
          <cell r="C90">
            <v>46009</v>
          </cell>
          <cell r="D90" t="str">
            <v>마몽드 어메이징딥 민트클렌징밤 90ml(26AD 사출덮개 사출</v>
          </cell>
          <cell r="E90">
            <v>12</v>
          </cell>
          <cell r="H90">
            <v>54</v>
          </cell>
          <cell r="K90">
            <v>1</v>
          </cell>
          <cell r="N90">
            <v>16.3</v>
          </cell>
        </row>
        <row r="91">
          <cell r="A91" t="str">
            <v>SI1616_20251215</v>
          </cell>
          <cell r="B91">
            <v>0</v>
          </cell>
          <cell r="C91">
            <v>46006</v>
          </cell>
          <cell r="D91" t="str">
            <v>설화수 진설명작크림 60ML (26AD 사출덮개</v>
          </cell>
          <cell r="E91">
            <v>10</v>
          </cell>
          <cell r="F91">
            <v>10</v>
          </cell>
          <cell r="H91">
            <v>140</v>
          </cell>
          <cell r="I91">
            <v>60</v>
          </cell>
          <cell r="J91">
            <v>10</v>
          </cell>
          <cell r="K91">
            <v>3</v>
          </cell>
          <cell r="L91">
            <v>2</v>
          </cell>
          <cell r="M91">
            <v>0.5</v>
          </cell>
          <cell r="N91">
            <v>12</v>
          </cell>
        </row>
        <row r="92">
          <cell r="A92" t="str">
            <v>SI1669_20251209</v>
          </cell>
          <cell r="B92" t="str">
            <v>장세래</v>
          </cell>
          <cell r="C92">
            <v>46000</v>
          </cell>
          <cell r="D92" t="str">
            <v>마몽드 어메이징딥 민트클렌징밤 90ml(26AD 스파출러대 사출</v>
          </cell>
          <cell r="E92">
            <v>10</v>
          </cell>
          <cell r="H92">
            <v>140</v>
          </cell>
          <cell r="K92">
            <v>5</v>
          </cell>
          <cell r="N92">
            <v>20.3</v>
          </cell>
        </row>
        <row r="93">
          <cell r="A93" t="str">
            <v>SI1670_20251205</v>
          </cell>
          <cell r="B93" t="str">
            <v>유재호</v>
          </cell>
          <cell r="C93">
            <v>45996</v>
          </cell>
          <cell r="D93" t="str">
            <v>마몽드 어메이징딥 민트클렌징밤 90ml(26AD 사출덮개 사출</v>
          </cell>
          <cell r="E93">
            <v>10</v>
          </cell>
          <cell r="H93">
            <v>50</v>
          </cell>
          <cell r="K93">
            <v>1</v>
          </cell>
          <cell r="N93">
            <v>24</v>
          </cell>
        </row>
        <row r="94">
          <cell r="A94" t="str">
            <v>SI1671_20251203</v>
          </cell>
          <cell r="B94" t="str">
            <v>장세래</v>
          </cell>
          <cell r="C94">
            <v>45994</v>
          </cell>
          <cell r="D94" t="str">
            <v>마몽드 어메이징딥 민트클렌징밤 90ml(26AD 단용기 사출</v>
          </cell>
          <cell r="E94">
            <v>10</v>
          </cell>
          <cell r="F94">
            <v>5</v>
          </cell>
          <cell r="H94">
            <v>70</v>
          </cell>
          <cell r="I94">
            <v>10</v>
          </cell>
          <cell r="K94">
            <v>15</v>
          </cell>
          <cell r="L94">
            <v>0.5</v>
          </cell>
          <cell r="N94">
            <v>12.1</v>
          </cell>
        </row>
        <row r="95">
          <cell r="A95" t="str">
            <v>SI1668_20251203</v>
          </cell>
          <cell r="B95" t="str">
            <v>장세래</v>
          </cell>
          <cell r="C95">
            <v>45994</v>
          </cell>
          <cell r="D95" t="str">
            <v>마몽드 어메이징딥 민트클렌징밤 90ml(26AD 원터치단캡 사출</v>
          </cell>
          <cell r="E95">
            <v>10</v>
          </cell>
          <cell r="F95">
            <v>5</v>
          </cell>
          <cell r="H95">
            <v>60</v>
          </cell>
          <cell r="I95">
            <v>10</v>
          </cell>
          <cell r="K95">
            <v>3</v>
          </cell>
          <cell r="L95">
            <v>0.5</v>
          </cell>
          <cell r="N95">
            <v>20</v>
          </cell>
        </row>
        <row r="96">
          <cell r="A96" t="str">
            <v>SI1669_20251124</v>
          </cell>
          <cell r="B96" t="str">
            <v>유재호</v>
          </cell>
          <cell r="C96">
            <v>45985</v>
          </cell>
          <cell r="D96" t="str">
            <v>마몽드 어메이징딥 민트클렌징밤 90ml(26AD 스파출러대 사출</v>
          </cell>
          <cell r="E96">
            <v>10</v>
          </cell>
          <cell r="H96">
            <v>135</v>
          </cell>
          <cell r="K96">
            <v>3</v>
          </cell>
          <cell r="N96">
            <v>20.52</v>
          </cell>
        </row>
        <row r="97">
          <cell r="A97" t="str">
            <v>SI1617_20251121</v>
          </cell>
          <cell r="B97" t="str">
            <v>장세래</v>
          </cell>
          <cell r="C97">
            <v>45982</v>
          </cell>
          <cell r="D97" t="str">
            <v>설화수 진설명작크림 60ML (26AD 중용기</v>
          </cell>
          <cell r="E97">
            <v>8</v>
          </cell>
          <cell r="H97">
            <v>100</v>
          </cell>
          <cell r="K97">
            <v>3</v>
          </cell>
          <cell r="N97">
            <v>23.5</v>
          </cell>
        </row>
        <row r="98">
          <cell r="A98" t="str">
            <v>SI1620_20251121</v>
          </cell>
          <cell r="B98" t="str">
            <v>장세래</v>
          </cell>
          <cell r="C98">
            <v>45982</v>
          </cell>
          <cell r="D98" t="str">
            <v>설화수 진설명작크림 60ML (26AD 용기받침 사출</v>
          </cell>
          <cell r="E98">
            <v>10</v>
          </cell>
          <cell r="H98">
            <v>80</v>
          </cell>
          <cell r="K98">
            <v>3</v>
          </cell>
          <cell r="N98">
            <v>23.59</v>
          </cell>
        </row>
        <row r="99">
          <cell r="A99" t="str">
            <v>SI1628_20251121</v>
          </cell>
          <cell r="B99" t="str">
            <v>이종운</v>
          </cell>
          <cell r="C99">
            <v>45982</v>
          </cell>
          <cell r="D99" t="str">
            <v>설화수 진설명작크림 (견) 10ML (AD 단용기</v>
          </cell>
          <cell r="E99">
            <v>10</v>
          </cell>
          <cell r="F99">
            <v>10</v>
          </cell>
          <cell r="H99">
            <v>105</v>
          </cell>
          <cell r="I99">
            <v>65</v>
          </cell>
          <cell r="K99">
            <v>6</v>
          </cell>
          <cell r="L99">
            <v>0.5</v>
          </cell>
          <cell r="N99" t="str">
            <v>18.14(20)</v>
          </cell>
        </row>
        <row r="100">
          <cell r="A100" t="str">
            <v>SI1632_20251121</v>
          </cell>
          <cell r="B100" t="str">
            <v>이종운</v>
          </cell>
          <cell r="C100">
            <v>45982</v>
          </cell>
          <cell r="D100" t="str">
            <v>설화수 진설명작크림 (견) 5ML (AD 단용기</v>
          </cell>
          <cell r="E100">
            <v>10</v>
          </cell>
          <cell r="F100">
            <v>10</v>
          </cell>
          <cell r="H100">
            <v>110</v>
          </cell>
          <cell r="I100">
            <v>65</v>
          </cell>
          <cell r="K100">
            <v>6</v>
          </cell>
          <cell r="L100">
            <v>0.5</v>
          </cell>
          <cell r="N100" t="str">
            <v>22.18(25)</v>
          </cell>
        </row>
        <row r="101">
          <cell r="A101" t="str">
            <v>SI1618_20251119</v>
          </cell>
          <cell r="B101" t="str">
            <v>한창구</v>
          </cell>
          <cell r="C101">
            <v>45980</v>
          </cell>
          <cell r="D101" t="str">
            <v>설화수 진설명작크림 60ML (26AD 내용기</v>
          </cell>
          <cell r="E101">
            <v>10</v>
          </cell>
          <cell r="H101">
            <v>80</v>
          </cell>
          <cell r="K101">
            <v>3</v>
          </cell>
          <cell r="N101">
            <v>25</v>
          </cell>
        </row>
        <row r="102">
          <cell r="A102" t="str">
            <v>SI1614_20251119</v>
          </cell>
          <cell r="B102" t="str">
            <v>한창구</v>
          </cell>
          <cell r="C102">
            <v>45980</v>
          </cell>
          <cell r="D102" t="str">
            <v>설화수 진설명작크림 60ML (26AD 내캡</v>
          </cell>
          <cell r="E102">
            <v>10</v>
          </cell>
          <cell r="H102">
            <v>65</v>
          </cell>
          <cell r="K102">
            <v>2</v>
          </cell>
        </row>
        <row r="103">
          <cell r="A103" t="str">
            <v>SI1653_20251114</v>
          </cell>
          <cell r="B103" t="str">
            <v>유재호</v>
          </cell>
          <cell r="C103">
            <v>45975</v>
          </cell>
          <cell r="D103" t="str">
            <v>홀리추얼 울트라 너리싱 아이크림 30ML 중캡</v>
          </cell>
          <cell r="E103">
            <v>10</v>
          </cell>
          <cell r="H103">
            <v>125</v>
          </cell>
          <cell r="K103">
            <v>3</v>
          </cell>
          <cell r="N103">
            <v>26</v>
          </cell>
        </row>
        <row r="104">
          <cell r="A104" t="str">
            <v>SI1654_20251111</v>
          </cell>
          <cell r="B104" t="str">
            <v>장세래</v>
          </cell>
          <cell r="C104">
            <v>45972</v>
          </cell>
          <cell r="D104" t="str">
            <v>홀리추얼 울트라 너리싱 아이크림 30ML 내캡</v>
          </cell>
          <cell r="E104">
            <v>10</v>
          </cell>
          <cell r="F104">
            <v>2</v>
          </cell>
          <cell r="H104">
            <v>80</v>
          </cell>
          <cell r="I104">
            <v>10</v>
          </cell>
          <cell r="K104">
            <v>2.5</v>
          </cell>
          <cell r="L104">
            <v>0.5</v>
          </cell>
          <cell r="N104">
            <v>19.63</v>
          </cell>
        </row>
        <row r="105">
          <cell r="A105" t="str">
            <v>SI1622_20251110</v>
          </cell>
          <cell r="B105" t="str">
            <v>장세래</v>
          </cell>
          <cell r="C105">
            <v>45971</v>
          </cell>
          <cell r="D105" t="str">
            <v>설화수 진설명작크림 60ML (26AD 스파츌러대 사출</v>
          </cell>
          <cell r="E105">
            <v>10</v>
          </cell>
          <cell r="H105">
            <v>100</v>
          </cell>
          <cell r="K105">
            <v>3</v>
          </cell>
          <cell r="N105">
            <v>15.8</v>
          </cell>
        </row>
        <row r="106">
          <cell r="A106" t="str">
            <v>SI1611_20251104</v>
          </cell>
          <cell r="B106" t="str">
            <v>한창구</v>
          </cell>
          <cell r="C106">
            <v>45965</v>
          </cell>
          <cell r="D106" t="str">
            <v>홀리추얼 울트라 너리싱 어드밴스드 토너 150ML 내캡</v>
          </cell>
          <cell r="E106">
            <v>10</v>
          </cell>
          <cell r="H106">
            <v>80</v>
          </cell>
          <cell r="K106">
            <v>2</v>
          </cell>
          <cell r="N106">
            <v>27</v>
          </cell>
        </row>
        <row r="107">
          <cell r="A107" t="str">
            <v>SI1638_20251104</v>
          </cell>
          <cell r="B107" t="str">
            <v>유재호</v>
          </cell>
          <cell r="C107">
            <v>45965</v>
          </cell>
          <cell r="D107" t="str">
            <v>헤라 시그니아 바이탈리프팅크림 소용량 15ml 26AD 내용기</v>
          </cell>
          <cell r="E107">
            <v>10</v>
          </cell>
          <cell r="H107">
            <v>120</v>
          </cell>
          <cell r="K107">
            <v>3</v>
          </cell>
          <cell r="N107">
            <v>14.26</v>
          </cell>
        </row>
        <row r="108">
          <cell r="A108" t="str">
            <v>SI1642_20251030</v>
          </cell>
          <cell r="B108" t="str">
            <v>한창구</v>
          </cell>
          <cell r="C108">
            <v>45960</v>
          </cell>
          <cell r="D108" t="str">
            <v>헤라 시그니아 유스퍼밍 아이크림 소용량 5mL(26AD 내용기</v>
          </cell>
          <cell r="E108">
            <v>10</v>
          </cell>
          <cell r="H108">
            <v>150</v>
          </cell>
          <cell r="K108">
            <v>5</v>
          </cell>
          <cell r="N108">
            <v>18</v>
          </cell>
        </row>
        <row r="109">
          <cell r="A109" t="str">
            <v>SI1654_20251029</v>
          </cell>
          <cell r="B109" t="str">
            <v/>
          </cell>
          <cell r="C109" t="str">
            <v/>
          </cell>
          <cell r="D109" t="str">
            <v/>
          </cell>
          <cell r="E109">
            <v>10</v>
          </cell>
          <cell r="H109">
            <v>50</v>
          </cell>
          <cell r="K109">
            <v>2</v>
          </cell>
        </row>
        <row r="110">
          <cell r="A110" t="str">
            <v>SI1653_20251029</v>
          </cell>
          <cell r="B110" t="str">
            <v>한창구</v>
          </cell>
          <cell r="C110">
            <v>45959</v>
          </cell>
          <cell r="D110" t="str">
            <v>홀리추얼 울트라 너리싱 아이크림 30ML 중캡</v>
          </cell>
          <cell r="E110">
            <v>10</v>
          </cell>
          <cell r="H110">
            <v>125</v>
          </cell>
          <cell r="K110">
            <v>3</v>
          </cell>
        </row>
        <row r="111">
          <cell r="A111" t="str">
            <v>SI1638_20251027</v>
          </cell>
          <cell r="B111" t="str">
            <v>장세래</v>
          </cell>
          <cell r="C111">
            <v>45957</v>
          </cell>
          <cell r="D111" t="str">
            <v>헤라 시그니아 바이탈리프팅크림 소용량 15ml 26AD 내용기</v>
          </cell>
          <cell r="E111">
            <v>10</v>
          </cell>
          <cell r="F111">
            <v>5</v>
          </cell>
          <cell r="H111">
            <v>120</v>
          </cell>
          <cell r="I111">
            <v>10</v>
          </cell>
          <cell r="K111">
            <v>4</v>
          </cell>
          <cell r="L111">
            <v>0.5</v>
          </cell>
          <cell r="N111">
            <v>15.5</v>
          </cell>
        </row>
        <row r="112">
          <cell r="A112" t="str">
            <v>SI1642_20251023</v>
          </cell>
          <cell r="B112" t="str">
            <v>유재호</v>
          </cell>
          <cell r="C112">
            <v>45953</v>
          </cell>
          <cell r="D112" t="str">
            <v>헤라 시그니아 유스퍼밍 아이크림 소용량 5mL(26AD 내용기</v>
          </cell>
          <cell r="E112">
            <v>10</v>
          </cell>
          <cell r="H112">
            <v>80</v>
          </cell>
          <cell r="K112">
            <v>3</v>
          </cell>
          <cell r="N112">
            <v>31</v>
          </cell>
        </row>
        <row r="113">
          <cell r="A113" t="str">
            <v>SI1641_20251023</v>
          </cell>
          <cell r="B113" t="str">
            <v>유재호</v>
          </cell>
          <cell r="C113">
            <v>45953</v>
          </cell>
          <cell r="D113" t="str">
            <v>헤라 시그니아 유스퍼밍 아이크림 소용량 5mL(26AD 캡</v>
          </cell>
          <cell r="E113">
            <v>10</v>
          </cell>
          <cell r="H113">
            <v>95</v>
          </cell>
          <cell r="K113">
            <v>2</v>
          </cell>
          <cell r="N113">
            <v>23</v>
          </cell>
        </row>
        <row r="114">
          <cell r="A114" t="str">
            <v>SI1652_20251020</v>
          </cell>
          <cell r="B114" t="str">
            <v>장세래</v>
          </cell>
          <cell r="C114">
            <v>45950</v>
          </cell>
          <cell r="D114" t="str">
            <v>홀리추얼 울트라 너리싱 아이크림 30ML 외캡</v>
          </cell>
          <cell r="E114">
            <v>10</v>
          </cell>
          <cell r="F114">
            <v>5</v>
          </cell>
          <cell r="H114">
            <v>130</v>
          </cell>
          <cell r="I114">
            <v>10</v>
          </cell>
          <cell r="K114">
            <v>3</v>
          </cell>
          <cell r="L114">
            <v>0.5</v>
          </cell>
          <cell r="N114">
            <v>48.84</v>
          </cell>
        </row>
        <row r="115">
          <cell r="A115" t="str">
            <v>SI1655_20251016</v>
          </cell>
          <cell r="B115" t="str">
            <v>유재호</v>
          </cell>
          <cell r="C115">
            <v>45946</v>
          </cell>
          <cell r="D115" t="str">
            <v>홀리추얼 울트라 너리싱 크림 80ML 외캡 사출</v>
          </cell>
          <cell r="E115">
            <v>10</v>
          </cell>
          <cell r="H115">
            <v>135</v>
          </cell>
          <cell r="K115">
            <v>4</v>
          </cell>
          <cell r="N115">
            <v>36</v>
          </cell>
        </row>
        <row r="116">
          <cell r="A116" t="str">
            <v>SI1640_20251014</v>
          </cell>
          <cell r="B116" t="str">
            <v>장세래</v>
          </cell>
          <cell r="C116">
            <v>45944</v>
          </cell>
          <cell r="D116" t="str">
            <v>헤라 시그니아 바이탈리프팅크림 소용량 15ml 26AD 내캡</v>
          </cell>
          <cell r="E116">
            <v>10</v>
          </cell>
          <cell r="F116">
            <v>2</v>
          </cell>
          <cell r="H116">
            <v>50</v>
          </cell>
          <cell r="I116">
            <v>10</v>
          </cell>
          <cell r="K116">
            <v>1.5</v>
          </cell>
          <cell r="L116">
            <v>0.5</v>
          </cell>
          <cell r="N116">
            <v>24.5</v>
          </cell>
        </row>
        <row r="117">
          <cell r="A117" t="str">
            <v>SI1638_20251014</v>
          </cell>
          <cell r="B117" t="str">
            <v>유재호</v>
          </cell>
          <cell r="C117">
            <v>45944</v>
          </cell>
          <cell r="D117" t="str">
            <v>헤라 시그니아 바이탈리프팅크림 소용량 15ml 26AD 내용기</v>
          </cell>
          <cell r="E117">
            <v>10</v>
          </cell>
          <cell r="H117">
            <v>80</v>
          </cell>
          <cell r="K117">
            <v>2</v>
          </cell>
          <cell r="N117">
            <v>27</v>
          </cell>
        </row>
        <row r="118">
          <cell r="A118" t="str">
            <v>SI1654_20251014</v>
          </cell>
          <cell r="B118" t="str">
            <v>유재호</v>
          </cell>
          <cell r="C118">
            <v>45944</v>
          </cell>
          <cell r="D118" t="str">
            <v>홀리추얼 울트라 너리싱 아이크림 30ML 내캡</v>
          </cell>
          <cell r="E118">
            <v>10</v>
          </cell>
          <cell r="H118">
            <v>50</v>
          </cell>
          <cell r="K118">
            <v>2</v>
          </cell>
          <cell r="N118">
            <v>31</v>
          </cell>
        </row>
        <row r="119">
          <cell r="A119" t="str">
            <v>SI1642_20250930</v>
          </cell>
          <cell r="B119" t="str">
            <v>장세래</v>
          </cell>
          <cell r="C119">
            <v>45930</v>
          </cell>
          <cell r="D119" t="str">
            <v>헤라 시그니아 유스퍼밍 아이크림 소용량 5mL(26AD 내용기</v>
          </cell>
          <cell r="E119">
            <v>10</v>
          </cell>
          <cell r="F119">
            <v>2</v>
          </cell>
          <cell r="H119">
            <v>110</v>
          </cell>
          <cell r="I119">
            <v>10</v>
          </cell>
          <cell r="K119">
            <v>3</v>
          </cell>
          <cell r="L119">
            <v>0.5</v>
          </cell>
          <cell r="N119">
            <v>20.28</v>
          </cell>
        </row>
        <row r="120">
          <cell r="A120" t="str">
            <v>SI1638_20250930</v>
          </cell>
          <cell r="B120" t="str">
            <v>장세래</v>
          </cell>
          <cell r="C120">
            <v>45930</v>
          </cell>
          <cell r="D120" t="str">
            <v>헤라 시그니아 바이탈리프팅크림 소용량 15ml 26AD 내용기</v>
          </cell>
          <cell r="E120">
            <v>10</v>
          </cell>
          <cell r="F120">
            <v>2</v>
          </cell>
          <cell r="H120">
            <v>50</v>
          </cell>
          <cell r="I120">
            <v>10</v>
          </cell>
          <cell r="K120">
            <v>1</v>
          </cell>
          <cell r="L120">
            <v>0.5</v>
          </cell>
          <cell r="N120">
            <v>26.62</v>
          </cell>
        </row>
        <row r="121">
          <cell r="A121" t="str">
            <v>SI1620_20250929</v>
          </cell>
          <cell r="B121" t="str">
            <v>장세래</v>
          </cell>
          <cell r="C121">
            <v>45929</v>
          </cell>
          <cell r="D121" t="str">
            <v>설화수 진설명작크림 60ML (26AD 용기받침 사출</v>
          </cell>
          <cell r="E121">
            <v>10</v>
          </cell>
          <cell r="H121">
            <v>110</v>
          </cell>
          <cell r="K121">
            <v>3</v>
          </cell>
          <cell r="N121">
            <v>29.3</v>
          </cell>
        </row>
        <row r="122">
          <cell r="A122" t="str">
            <v>SI1653_20251003</v>
          </cell>
          <cell r="B122" t="str">
            <v>유재호</v>
          </cell>
          <cell r="C122">
            <v>45933</v>
          </cell>
          <cell r="D122" t="str">
            <v>홀리추얼 울트라 너리싱 아이크림 30ML 중캡</v>
          </cell>
          <cell r="E122">
            <v>10</v>
          </cell>
          <cell r="H122">
            <v>10</v>
          </cell>
          <cell r="K122">
            <v>2</v>
          </cell>
          <cell r="N122">
            <v>26</v>
          </cell>
        </row>
        <row r="123">
          <cell r="A123" t="str">
            <v>SI1652_20251003</v>
          </cell>
          <cell r="B123" t="str">
            <v>유재호</v>
          </cell>
          <cell r="C123">
            <v>45933</v>
          </cell>
          <cell r="D123" t="str">
            <v>홀리추얼 울트라 너리싱 아이크림 30ML 외캡</v>
          </cell>
          <cell r="E123">
            <v>10</v>
          </cell>
          <cell r="H123">
            <v>120</v>
          </cell>
          <cell r="K123">
            <v>3</v>
          </cell>
          <cell r="N123">
            <v>30.5</v>
          </cell>
        </row>
        <row r="124">
          <cell r="A124" t="str">
            <v>SI1637_20251001</v>
          </cell>
          <cell r="B124" t="str">
            <v>장세래</v>
          </cell>
          <cell r="C124">
            <v>45931</v>
          </cell>
          <cell r="D124" t="str">
            <v>헤라 시그니아 바이탈리프팅크림 소용량 15ml 26AD 외용기</v>
          </cell>
          <cell r="E124">
            <v>10</v>
          </cell>
          <cell r="H124">
            <v>125</v>
          </cell>
          <cell r="K124">
            <v>30</v>
          </cell>
          <cell r="N124">
            <v>10.8</v>
          </cell>
        </row>
        <row r="125">
          <cell r="A125" t="str">
            <v>SI1643_20251001</v>
          </cell>
          <cell r="B125" t="str">
            <v>장세래</v>
          </cell>
          <cell r="C125">
            <v>45931</v>
          </cell>
          <cell r="D125" t="str">
            <v>헤라 시그니아 유스퍼밍 아이크림 소용량 5mL(26AD 외용기</v>
          </cell>
          <cell r="E125">
            <v>10</v>
          </cell>
          <cell r="H125">
            <v>110</v>
          </cell>
          <cell r="K125">
            <v>25</v>
          </cell>
          <cell r="N125">
            <v>19.600000000000001</v>
          </cell>
        </row>
        <row r="126">
          <cell r="A126" t="str">
            <v>SI1629_20250926</v>
          </cell>
          <cell r="B126" t="str">
            <v>유재호</v>
          </cell>
          <cell r="C126">
            <v>45926</v>
          </cell>
          <cell r="D126" t="str">
            <v>설화수 진설명작크림 (견) 10ML (AD 사출덮개</v>
          </cell>
          <cell r="E126">
            <v>10</v>
          </cell>
          <cell r="H126">
            <v>130</v>
          </cell>
          <cell r="K126">
            <v>3</v>
          </cell>
          <cell r="N126">
            <v>6.2</v>
          </cell>
        </row>
        <row r="127">
          <cell r="A127" t="str">
            <v>SI1634_20250926</v>
          </cell>
          <cell r="B127" t="str">
            <v>유재호</v>
          </cell>
          <cell r="C127">
            <v>45926</v>
          </cell>
          <cell r="D127" t="str">
            <v>설화수 진설명작크림 (견) 5ML (AD 사출덮개</v>
          </cell>
          <cell r="E127">
            <v>10</v>
          </cell>
          <cell r="H127">
            <v>110</v>
          </cell>
          <cell r="K127">
            <v>2</v>
          </cell>
          <cell r="N127">
            <v>6.1</v>
          </cell>
        </row>
        <row r="128">
          <cell r="A128" t="str">
            <v>SI1641_20250925</v>
          </cell>
          <cell r="B128" t="str">
            <v>유재호</v>
          </cell>
          <cell r="C128">
            <v>45925</v>
          </cell>
          <cell r="D128" t="str">
            <v>헤라 시그니아 유스퍼밍 아이크림 소용량 5mL(26AD 캡</v>
          </cell>
          <cell r="E128">
            <v>12</v>
          </cell>
          <cell r="H128">
            <v>100</v>
          </cell>
          <cell r="K128">
            <v>1</v>
          </cell>
          <cell r="N128">
            <v>22.5</v>
          </cell>
        </row>
        <row r="129">
          <cell r="A129" t="str">
            <v>SI1640_20250923</v>
          </cell>
          <cell r="B129" t="str">
            <v>장세래</v>
          </cell>
          <cell r="C129">
            <v>45923</v>
          </cell>
          <cell r="D129" t="str">
            <v>헤라 시그니아 바이탈리프팅크림 소용량 15ml 26AD 내캡</v>
          </cell>
          <cell r="E129">
            <v>10</v>
          </cell>
          <cell r="F129">
            <v>2</v>
          </cell>
          <cell r="H129">
            <v>45</v>
          </cell>
          <cell r="I129">
            <v>10</v>
          </cell>
          <cell r="K129">
            <v>1.5</v>
          </cell>
          <cell r="L129">
            <v>0.5</v>
          </cell>
          <cell r="N129">
            <v>30.7</v>
          </cell>
        </row>
        <row r="130">
          <cell r="A130" t="str">
            <v>SI1637_20250923</v>
          </cell>
          <cell r="B130" t="str">
            <v>민병태</v>
          </cell>
          <cell r="C130">
            <v>45923</v>
          </cell>
          <cell r="D130" t="str">
            <v>헤라 시그니아 바이탈리프팅크림 소용량 15ml 26AD 외용기</v>
          </cell>
          <cell r="E130">
            <v>10</v>
          </cell>
          <cell r="F130">
            <v>5</v>
          </cell>
          <cell r="G130">
            <v>2</v>
          </cell>
          <cell r="H130">
            <v>110</v>
          </cell>
          <cell r="I130">
            <v>90</v>
          </cell>
          <cell r="J130">
            <v>10</v>
          </cell>
          <cell r="K130">
            <v>15</v>
          </cell>
          <cell r="L130">
            <v>10</v>
          </cell>
          <cell r="M130">
            <v>1</v>
          </cell>
          <cell r="N130">
            <v>45</v>
          </cell>
        </row>
        <row r="131">
          <cell r="A131" t="str">
            <v>SI1643_20250923</v>
          </cell>
          <cell r="B131" t="str">
            <v>민병태</v>
          </cell>
          <cell r="C131">
            <v>45923</v>
          </cell>
          <cell r="D131" t="str">
            <v>헤라 시그니아 유스퍼밍 아이크림 소용량 5mL(26AD 외용기</v>
          </cell>
          <cell r="E131">
            <v>10</v>
          </cell>
          <cell r="H131">
            <v>115</v>
          </cell>
          <cell r="K131">
            <v>25</v>
          </cell>
          <cell r="N131">
            <v>20.399999999999999</v>
          </cell>
        </row>
        <row r="132">
          <cell r="A132" t="str">
            <v>SI1642_20250915</v>
          </cell>
          <cell r="B132" t="str">
            <v>장세래</v>
          </cell>
          <cell r="C132">
            <v>45915</v>
          </cell>
          <cell r="D132" t="str">
            <v>헤라 시그니아 유스퍼밍 아이크림 소용량 5mL(26AD 내용기</v>
          </cell>
          <cell r="E132">
            <v>10</v>
          </cell>
          <cell r="F132">
            <v>2</v>
          </cell>
          <cell r="H132">
            <v>100</v>
          </cell>
          <cell r="I132">
            <v>10</v>
          </cell>
          <cell r="K132">
            <v>3</v>
          </cell>
          <cell r="L132">
            <v>0.5</v>
          </cell>
          <cell r="N132">
            <v>29.08</v>
          </cell>
        </row>
        <row r="133">
          <cell r="A133" t="str">
            <v>SI1638_20250915</v>
          </cell>
          <cell r="B133" t="str">
            <v>장세래</v>
          </cell>
          <cell r="C133">
            <v>45915</v>
          </cell>
          <cell r="D133" t="str">
            <v>헤라 시그니아 바이탈리프팅크림 소용량 15ml 26AD 내용기</v>
          </cell>
          <cell r="E133">
            <v>10</v>
          </cell>
          <cell r="F133">
            <v>5</v>
          </cell>
          <cell r="H133">
            <v>110</v>
          </cell>
          <cell r="I133">
            <v>10</v>
          </cell>
          <cell r="K133">
            <v>3</v>
          </cell>
          <cell r="L133">
            <v>0.5</v>
          </cell>
          <cell r="N133">
            <v>27.01</v>
          </cell>
        </row>
        <row r="134">
          <cell r="A134" t="str">
            <v>SI1643_20250913</v>
          </cell>
          <cell r="B134" t="str">
            <v>장세래</v>
          </cell>
          <cell r="C134">
            <v>45913</v>
          </cell>
          <cell r="D134" t="str">
            <v>헤라 시그니아 유스퍼밍 아이크림 소용량 5mL(26AD 외용기</v>
          </cell>
          <cell r="E134">
            <v>10</v>
          </cell>
          <cell r="H134">
            <v>115</v>
          </cell>
          <cell r="K134">
            <v>25</v>
          </cell>
          <cell r="N134">
            <v>20.5</v>
          </cell>
        </row>
        <row r="135">
          <cell r="A135" t="str">
            <v>SI1637_20250913</v>
          </cell>
          <cell r="B135" t="str">
            <v>장세래</v>
          </cell>
          <cell r="C135">
            <v>45913</v>
          </cell>
          <cell r="D135" t="str">
            <v>헤라 시그니아 바이탈리프팅크림 소용량 15ml 26AD 외용기</v>
          </cell>
          <cell r="E135">
            <v>10</v>
          </cell>
          <cell r="F135">
            <v>10</v>
          </cell>
          <cell r="H135">
            <v>130</v>
          </cell>
          <cell r="I135">
            <v>100</v>
          </cell>
          <cell r="K135">
            <v>30</v>
          </cell>
          <cell r="L135">
            <v>5</v>
          </cell>
          <cell r="N135">
            <v>12.6</v>
          </cell>
        </row>
        <row r="136">
          <cell r="A136" t="str">
            <v>SI1632_20250911</v>
          </cell>
          <cell r="B136">
            <v>0</v>
          </cell>
          <cell r="C136">
            <v>45911</v>
          </cell>
          <cell r="D136" t="str">
            <v>설화수 진설명작크림 (견) 5ML (AD 단용기</v>
          </cell>
          <cell r="E136">
            <v>10</v>
          </cell>
          <cell r="H136">
            <v>125</v>
          </cell>
          <cell r="K136">
            <v>4</v>
          </cell>
          <cell r="N136">
            <v>24</v>
          </cell>
        </row>
        <row r="137">
          <cell r="A137" t="str">
            <v>SI1628_20250911</v>
          </cell>
          <cell r="B137">
            <v>0</v>
          </cell>
          <cell r="C137">
            <v>45911</v>
          </cell>
          <cell r="D137" t="str">
            <v>설화수 진설명작크림 (견) 10ML (AD 단용기</v>
          </cell>
          <cell r="E137">
            <v>10</v>
          </cell>
          <cell r="H137">
            <v>120</v>
          </cell>
          <cell r="K137">
            <v>4</v>
          </cell>
          <cell r="N137">
            <v>16.2</v>
          </cell>
        </row>
        <row r="138">
          <cell r="A138" t="str">
            <v>SI1619_20250911</v>
          </cell>
          <cell r="B138" t="str">
            <v>유재호</v>
          </cell>
          <cell r="C138">
            <v>45911</v>
          </cell>
          <cell r="D138" t="str">
            <v>설화수 진설명작크림 60ML (26AD 외용기</v>
          </cell>
          <cell r="E138">
            <v>10</v>
          </cell>
          <cell r="H138">
            <v>140</v>
          </cell>
          <cell r="K138">
            <v>15</v>
          </cell>
          <cell r="N138">
            <v>22.8</v>
          </cell>
        </row>
        <row r="139">
          <cell r="A139" t="str">
            <v>SI1618_20250911</v>
          </cell>
          <cell r="B139" t="str">
            <v>유재호</v>
          </cell>
          <cell r="C139">
            <v>45911</v>
          </cell>
          <cell r="D139" t="str">
            <v>설화수 진설명작크림 60ML (26AD 내용기</v>
          </cell>
          <cell r="E139">
            <v>10</v>
          </cell>
          <cell r="H139">
            <v>75</v>
          </cell>
          <cell r="K139">
            <v>2</v>
          </cell>
          <cell r="N139">
            <v>30</v>
          </cell>
        </row>
        <row r="140">
          <cell r="A140" t="str">
            <v>SI1614_20250911</v>
          </cell>
          <cell r="B140" t="str">
            <v>유재호</v>
          </cell>
          <cell r="C140">
            <v>45911</v>
          </cell>
          <cell r="D140" t="str">
            <v>설화수 진설명작크림 60ML (26AD 내캡</v>
          </cell>
          <cell r="E140">
            <v>10</v>
          </cell>
          <cell r="H140">
            <v>60</v>
          </cell>
          <cell r="K140">
            <v>2</v>
          </cell>
          <cell r="N140">
            <v>37</v>
          </cell>
        </row>
        <row r="141">
          <cell r="A141" t="str">
            <v>SI1641_20250903</v>
          </cell>
          <cell r="B141" t="str">
            <v>유재호</v>
          </cell>
          <cell r="C141">
            <v>45903</v>
          </cell>
          <cell r="D141" t="str">
            <v>헤라 시그니아 유스퍼밍 아이크림 소용량 5mL(26AD 캡</v>
          </cell>
          <cell r="E141">
            <v>10</v>
          </cell>
          <cell r="H141">
            <v>95</v>
          </cell>
          <cell r="K141">
            <v>2</v>
          </cell>
          <cell r="N141">
            <v>24</v>
          </cell>
        </row>
        <row r="142">
          <cell r="A142" t="str">
            <v>SI1640_20250903</v>
          </cell>
          <cell r="B142" t="str">
            <v>유재호</v>
          </cell>
          <cell r="C142">
            <v>45903</v>
          </cell>
          <cell r="D142" t="str">
            <v>헤라 시그니아 바이탈리프팅크림 소용량 15ml 26AD 내캡</v>
          </cell>
          <cell r="E142">
            <v>10</v>
          </cell>
          <cell r="H142">
            <v>80</v>
          </cell>
          <cell r="K142">
            <v>3</v>
          </cell>
          <cell r="N142">
            <v>21</v>
          </cell>
        </row>
        <row r="143">
          <cell r="A143" t="str">
            <v>SI1642_20250902</v>
          </cell>
          <cell r="B143" t="str">
            <v>유재호</v>
          </cell>
          <cell r="C143">
            <v>45902</v>
          </cell>
          <cell r="D143" t="str">
            <v>헤라 시그니아 유스퍼밍 아이크림 소용량 5mL(26AD 내용기</v>
          </cell>
          <cell r="E143">
            <v>10</v>
          </cell>
          <cell r="H143">
            <v>100</v>
          </cell>
          <cell r="K143">
            <v>2</v>
          </cell>
          <cell r="N143">
            <v>21.3</v>
          </cell>
        </row>
        <row r="144">
          <cell r="A144" t="str">
            <v>SI1638_20250902</v>
          </cell>
          <cell r="B144" t="str">
            <v>유재호</v>
          </cell>
          <cell r="C144">
            <v>45902</v>
          </cell>
          <cell r="D144" t="str">
            <v>헤라 시그니아 바이탈리프팅크림 소용량 15ml 26AD 내용기</v>
          </cell>
          <cell r="E144">
            <v>10</v>
          </cell>
          <cell r="H144">
            <v>110</v>
          </cell>
          <cell r="K144">
            <v>3</v>
          </cell>
          <cell r="N144">
            <v>26</v>
          </cell>
        </row>
        <row r="145">
          <cell r="A145" t="str">
            <v>SI1643_20250828</v>
          </cell>
          <cell r="B145" t="str">
            <v>장세래</v>
          </cell>
          <cell r="C145">
            <v>45897</v>
          </cell>
          <cell r="D145" t="str">
            <v>헤라 시그니아 유스퍼밍 아이크림 소용량 5mL(26AD 외용기</v>
          </cell>
          <cell r="E145">
            <v>10</v>
          </cell>
          <cell r="F145">
            <v>5</v>
          </cell>
          <cell r="H145">
            <v>110</v>
          </cell>
          <cell r="I145">
            <v>100</v>
          </cell>
          <cell r="K145">
            <v>3</v>
          </cell>
          <cell r="L145">
            <v>20</v>
          </cell>
          <cell r="N145">
            <v>22.3</v>
          </cell>
        </row>
        <row r="146">
          <cell r="A146" t="str">
            <v>SI1637_20250828</v>
          </cell>
          <cell r="B146" t="str">
            <v>장세래</v>
          </cell>
          <cell r="C146">
            <v>45897</v>
          </cell>
          <cell r="D146" t="str">
            <v>헤라 시그니아 바이탈리프팅크림 소용량 15ml 26AD 외용기</v>
          </cell>
          <cell r="E146">
            <v>10</v>
          </cell>
          <cell r="F146">
            <v>5</v>
          </cell>
          <cell r="H146">
            <v>130</v>
          </cell>
          <cell r="I146">
            <v>100</v>
          </cell>
          <cell r="K146">
            <v>5</v>
          </cell>
          <cell r="L146">
            <v>20</v>
          </cell>
          <cell r="N146">
            <v>14.5</v>
          </cell>
        </row>
        <row r="147">
          <cell r="A147" t="str">
            <v>SI1628_20250812</v>
          </cell>
          <cell r="B147" t="str">
            <v>한창구</v>
          </cell>
          <cell r="C147">
            <v>45896</v>
          </cell>
          <cell r="D147" t="str">
            <v>설화수 진설명작크림 (견) 10ML (AD 단용기</v>
          </cell>
          <cell r="E147">
            <v>10</v>
          </cell>
          <cell r="F147">
            <v>5</v>
          </cell>
          <cell r="H147">
            <v>130</v>
          </cell>
          <cell r="I147">
            <v>100</v>
          </cell>
          <cell r="K147">
            <v>5</v>
          </cell>
          <cell r="L147">
            <v>20</v>
          </cell>
          <cell r="N147">
            <v>14.5</v>
          </cell>
        </row>
        <row r="148">
          <cell r="A148" t="str">
            <v>SI1628_20250812</v>
          </cell>
          <cell r="B148" t="str">
            <v>한창구</v>
          </cell>
          <cell r="C148">
            <v>45896</v>
          </cell>
          <cell r="D148" t="str">
            <v>설화수 진설명작크림 (견) 10ML (AD 단용기</v>
          </cell>
          <cell r="E148">
            <v>10</v>
          </cell>
          <cell r="F148">
            <v>5</v>
          </cell>
          <cell r="H148">
            <v>65</v>
          </cell>
          <cell r="I148">
            <v>35</v>
          </cell>
          <cell r="K148">
            <v>3</v>
          </cell>
          <cell r="L148">
            <v>0.5</v>
          </cell>
        </row>
        <row r="149">
          <cell r="A149" t="str">
            <v>SI1632_20250812</v>
          </cell>
          <cell r="B149" t="str">
            <v>한창구</v>
          </cell>
          <cell r="C149">
            <v>45896</v>
          </cell>
          <cell r="D149" t="str">
            <v>설화수 진설명작크림 (견) 5ML (AD 단용기</v>
          </cell>
          <cell r="E149">
            <v>10</v>
          </cell>
          <cell r="F149">
            <v>5</v>
          </cell>
          <cell r="H149">
            <v>65</v>
          </cell>
          <cell r="I149">
            <v>35</v>
          </cell>
          <cell r="K149">
            <v>3</v>
          </cell>
          <cell r="L149">
            <v>0.5</v>
          </cell>
        </row>
        <row r="150">
          <cell r="A150" t="str">
            <v>SI1627_20250812</v>
          </cell>
          <cell r="B150" t="str">
            <v>장세래</v>
          </cell>
          <cell r="C150">
            <v>45895</v>
          </cell>
          <cell r="D150" t="str">
            <v>설화수 진설명작크림 (견) 10ML (AD 용기받침</v>
          </cell>
          <cell r="E150">
            <v>10</v>
          </cell>
          <cell r="F150">
            <v>2</v>
          </cell>
          <cell r="H150">
            <v>120</v>
          </cell>
          <cell r="I150">
            <v>10</v>
          </cell>
          <cell r="K150">
            <v>4</v>
          </cell>
          <cell r="L150">
            <v>0.5</v>
          </cell>
          <cell r="N150">
            <v>15.3</v>
          </cell>
        </row>
        <row r="151">
          <cell r="A151" t="str">
            <v>SI1633_20250812</v>
          </cell>
          <cell r="B151" t="str">
            <v>장세래</v>
          </cell>
          <cell r="C151">
            <v>45895</v>
          </cell>
          <cell r="D151" t="str">
            <v>설화수 진설명작크림 (견) 5ML (AD 용기받침</v>
          </cell>
          <cell r="E151">
            <v>10</v>
          </cell>
          <cell r="F151">
            <v>2</v>
          </cell>
          <cell r="H151">
            <v>130</v>
          </cell>
          <cell r="I151">
            <v>10</v>
          </cell>
          <cell r="K151">
            <v>5</v>
          </cell>
          <cell r="L151">
            <v>0.5</v>
          </cell>
          <cell r="N151">
            <v>27.6</v>
          </cell>
        </row>
        <row r="152">
          <cell r="A152" t="str">
            <v>SI1625_20250812</v>
          </cell>
          <cell r="B152" t="str">
            <v>장세래</v>
          </cell>
          <cell r="C152">
            <v>45894</v>
          </cell>
          <cell r="D152" t="str">
            <v>설화수 진설명작크림 (견) 10ML (AD 외캡</v>
          </cell>
          <cell r="E152">
            <v>10</v>
          </cell>
          <cell r="F152">
            <v>2</v>
          </cell>
          <cell r="H152">
            <v>120</v>
          </cell>
          <cell r="I152">
            <v>10</v>
          </cell>
          <cell r="K152">
            <v>4</v>
          </cell>
          <cell r="L152">
            <v>0.5</v>
          </cell>
          <cell r="N152">
            <v>15.3</v>
          </cell>
        </row>
        <row r="153">
          <cell r="A153" t="str">
            <v>SI1630_20250812</v>
          </cell>
          <cell r="B153" t="str">
            <v>장세래</v>
          </cell>
          <cell r="C153">
            <v>45894</v>
          </cell>
          <cell r="D153" t="str">
            <v>설화수 진설명작크림 (견) 5ML (AD 외캡</v>
          </cell>
          <cell r="E153">
            <v>10</v>
          </cell>
          <cell r="F153">
            <v>2</v>
          </cell>
          <cell r="H153">
            <v>120</v>
          </cell>
          <cell r="I153">
            <v>10</v>
          </cell>
          <cell r="K153">
            <v>4</v>
          </cell>
          <cell r="L153">
            <v>0.5</v>
          </cell>
          <cell r="N153">
            <v>14.9</v>
          </cell>
        </row>
        <row r="154">
          <cell r="A154" t="str">
            <v>SI1626_20250812</v>
          </cell>
          <cell r="B154" t="str">
            <v>한창구</v>
          </cell>
          <cell r="C154">
            <v>45895</v>
          </cell>
          <cell r="D154" t="str">
            <v>설화수 진설명작크림 (견) 10ML (AD 내캡</v>
          </cell>
        </row>
        <row r="155">
          <cell r="A155" t="str">
            <v>SI1631_20250812</v>
          </cell>
          <cell r="B155" t="str">
            <v>한창구</v>
          </cell>
          <cell r="C155">
            <v>45895</v>
          </cell>
          <cell r="D155" t="str">
            <v>설화수 진설명작크림 (견) 5ML (AD 내캡</v>
          </cell>
          <cell r="E155">
            <v>10</v>
          </cell>
          <cell r="H155">
            <v>65</v>
          </cell>
          <cell r="K155">
            <v>3</v>
          </cell>
        </row>
        <row r="156">
          <cell r="A156" t="str">
            <v>test</v>
          </cell>
          <cell r="B156" t="str">
            <v/>
          </cell>
          <cell r="C156" t="str">
            <v/>
          </cell>
          <cell r="D156" t="str">
            <v/>
          </cell>
        </row>
        <row r="157">
          <cell r="A157" t="str">
            <v>SI1634_20250822</v>
          </cell>
          <cell r="B157" t="str">
            <v>유재호</v>
          </cell>
          <cell r="C157">
            <v>45891</v>
          </cell>
          <cell r="D157" t="str">
            <v>설화수 진설명작크림 (견) 5ML (AD 사출덮개</v>
          </cell>
        </row>
        <row r="158">
          <cell r="A158" t="str">
            <v>SI1634_20250822</v>
          </cell>
          <cell r="B158" t="str">
            <v>유재호</v>
          </cell>
          <cell r="C158">
            <v>45891</v>
          </cell>
          <cell r="D158" t="str">
            <v>설화수 진설명작크림 (견) 5ML (AD 사출덮개</v>
          </cell>
        </row>
        <row r="159">
          <cell r="A159" t="str">
            <v>SI1614_20250812</v>
          </cell>
          <cell r="B159" t="str">
            <v>유재호</v>
          </cell>
          <cell r="C159">
            <v>45889</v>
          </cell>
          <cell r="D159" t="str">
            <v>설화수 진설명작크림 60ML (26AD 내캡</v>
          </cell>
          <cell r="E159">
            <v>10</v>
          </cell>
          <cell r="H159">
            <v>65</v>
          </cell>
          <cell r="K159">
            <v>2</v>
          </cell>
          <cell r="N159">
            <v>19.3</v>
          </cell>
        </row>
        <row r="160">
          <cell r="A160" t="str">
            <v>SI1623_20250812</v>
          </cell>
          <cell r="B160" t="str">
            <v>유재호</v>
          </cell>
          <cell r="C160">
            <v>45888</v>
          </cell>
          <cell r="D160" t="str">
            <v>설화수 진설명작크림 리필 60ML (26AD 단캡</v>
          </cell>
          <cell r="E160">
            <v>10</v>
          </cell>
          <cell r="H160">
            <v>90</v>
          </cell>
          <cell r="K160">
            <v>3</v>
          </cell>
        </row>
        <row r="161">
          <cell r="A161" t="str">
            <v>SI1622_20250812</v>
          </cell>
          <cell r="B161" t="str">
            <v>유재호</v>
          </cell>
          <cell r="C161">
            <v>45883</v>
          </cell>
          <cell r="D161" t="str">
            <v>설화수 진설명작크림 60ML (26AD 스파츌러대 사출</v>
          </cell>
          <cell r="E161">
            <v>10</v>
          </cell>
          <cell r="H161">
            <v>160</v>
          </cell>
          <cell r="K161">
            <v>8</v>
          </cell>
          <cell r="N161">
            <v>14.5</v>
          </cell>
        </row>
        <row r="162">
          <cell r="A162" t="str">
            <v>test_20250817</v>
          </cell>
          <cell r="B162" t="str">
            <v/>
          </cell>
          <cell r="C162" t="str">
            <v/>
          </cell>
          <cell r="D162" t="str">
            <v/>
          </cell>
          <cell r="E162">
            <v>2</v>
          </cell>
          <cell r="F162">
            <v>2</v>
          </cell>
          <cell r="G162">
            <v>2</v>
          </cell>
          <cell r="H162">
            <v>1</v>
          </cell>
          <cell r="I162">
            <v>1</v>
          </cell>
          <cell r="J162">
            <v>1</v>
          </cell>
        </row>
        <row r="163">
          <cell r="A163" t="str">
            <v>SI1620_20250812</v>
          </cell>
          <cell r="B163" t="str">
            <v>유재호</v>
          </cell>
          <cell r="C163">
            <v>45883</v>
          </cell>
          <cell r="D163" t="str">
            <v>설화수 진설명작크림 60ML (26AD 용기받침 사출</v>
          </cell>
          <cell r="E163">
            <v>10</v>
          </cell>
          <cell r="H163">
            <v>90</v>
          </cell>
          <cell r="K163">
            <v>2</v>
          </cell>
          <cell r="N163">
            <v>23.25</v>
          </cell>
        </row>
        <row r="164">
          <cell r="A164" t="str">
            <v>SI1617_20250812</v>
          </cell>
          <cell r="B164" t="str">
            <v>유재호</v>
          </cell>
          <cell r="C164">
            <v>45882</v>
          </cell>
          <cell r="D164" t="str">
            <v>설화수 진설명작크림 60ML (26AD 중용기</v>
          </cell>
          <cell r="E164">
            <v>8</v>
          </cell>
          <cell r="H164">
            <v>100</v>
          </cell>
          <cell r="K164">
            <v>2.5</v>
          </cell>
          <cell r="N164">
            <v>23</v>
          </cell>
        </row>
        <row r="165">
          <cell r="A165" t="str">
            <v>SI1621_20250812</v>
          </cell>
          <cell r="B165" t="str">
            <v>유재호</v>
          </cell>
          <cell r="C165">
            <v>45882</v>
          </cell>
          <cell r="D165" t="str">
            <v>설화수 진설명작크림 60ML (26AD 숄더장식 사출</v>
          </cell>
          <cell r="E165">
            <v>10</v>
          </cell>
          <cell r="H165">
            <v>110</v>
          </cell>
          <cell r="K165">
            <v>3</v>
          </cell>
          <cell r="N165">
            <v>22.2</v>
          </cell>
        </row>
        <row r="166">
          <cell r="A166" t="str">
            <v>SI1615_20250812</v>
          </cell>
          <cell r="B166" t="str">
            <v>유재호</v>
          </cell>
          <cell r="C166">
            <v>45882</v>
          </cell>
          <cell r="D166" t="str">
            <v>설화수 진설명작크림 60ML (26AD 캡장식-하단링</v>
          </cell>
          <cell r="E166">
            <v>25</v>
          </cell>
          <cell r="H166">
            <v>80</v>
          </cell>
          <cell r="K166">
            <v>2</v>
          </cell>
        </row>
        <row r="167">
          <cell r="A167" t="str">
            <v>SI1611_20250807</v>
          </cell>
          <cell r="B167" t="str">
            <v>장세래</v>
          </cell>
          <cell r="C167">
            <v>45876</v>
          </cell>
          <cell r="D167" t="str">
            <v>홀리추얼 울트라 너리싱 어드밴스드 토너 150ML 내캡</v>
          </cell>
          <cell r="E167">
            <v>10</v>
          </cell>
          <cell r="H167">
            <v>80</v>
          </cell>
          <cell r="K167">
            <v>2</v>
          </cell>
          <cell r="N167">
            <v>6</v>
          </cell>
        </row>
        <row r="168">
          <cell r="A168" t="str">
            <v>SI1626_20250708</v>
          </cell>
          <cell r="B168" t="str">
            <v>유재호</v>
          </cell>
          <cell r="C168">
            <v>45869</v>
          </cell>
          <cell r="D168" t="str">
            <v>설화수 진설명작크림 (견) 10ML (AD 내캡</v>
          </cell>
          <cell r="E168">
            <v>8</v>
          </cell>
          <cell r="H168">
            <v>110</v>
          </cell>
          <cell r="K168">
            <v>3</v>
          </cell>
          <cell r="N168">
            <v>32</v>
          </cell>
        </row>
        <row r="169">
          <cell r="A169" t="str">
            <v>SI1631_20250708</v>
          </cell>
          <cell r="B169" t="str">
            <v>유재호</v>
          </cell>
          <cell r="C169">
            <v>45869</v>
          </cell>
          <cell r="D169" t="str">
            <v>설화수 진설명작크림 (견) 5ML (AD 내캡</v>
          </cell>
          <cell r="E169">
            <v>8</v>
          </cell>
          <cell r="H169">
            <v>80</v>
          </cell>
          <cell r="K169">
            <v>2</v>
          </cell>
          <cell r="N169">
            <v>32</v>
          </cell>
        </row>
        <row r="170">
          <cell r="A170" t="str">
            <v>SI1632_20250708</v>
          </cell>
          <cell r="B170" t="str">
            <v>유재호</v>
          </cell>
          <cell r="C170">
            <v>45868</v>
          </cell>
          <cell r="D170" t="str">
            <v>설화수 진설명작크림 (견) 5ML (AD 단용기</v>
          </cell>
          <cell r="E170">
            <v>8</v>
          </cell>
          <cell r="H170">
            <v>110</v>
          </cell>
          <cell r="K170">
            <v>3.5</v>
          </cell>
          <cell r="N170">
            <v>28</v>
          </cell>
        </row>
        <row r="171">
          <cell r="A171" t="str">
            <v>SI1628_20250708</v>
          </cell>
          <cell r="B171" t="str">
            <v>유재호</v>
          </cell>
          <cell r="C171">
            <v>45868</v>
          </cell>
          <cell r="D171" t="str">
            <v>설화수 진설명작크림 (견) 10ML (AD 단용기</v>
          </cell>
          <cell r="E171">
            <v>8</v>
          </cell>
          <cell r="H171">
            <v>110</v>
          </cell>
          <cell r="K171">
            <v>4</v>
          </cell>
          <cell r="N171">
            <v>30</v>
          </cell>
        </row>
        <row r="172">
          <cell r="A172" t="str">
            <v>SI1625_20250708</v>
          </cell>
          <cell r="B172" t="str">
            <v>유재호</v>
          </cell>
          <cell r="C172">
            <v>45867</v>
          </cell>
          <cell r="D172" t="str">
            <v>설화수 진설명작크림 (견) 10ML (AD 외캡</v>
          </cell>
          <cell r="E172">
            <v>10</v>
          </cell>
          <cell r="H172">
            <v>110</v>
          </cell>
          <cell r="K172">
            <v>4</v>
          </cell>
          <cell r="N172">
            <v>36</v>
          </cell>
        </row>
        <row r="173">
          <cell r="A173" t="str">
            <v>SI1630_20250708</v>
          </cell>
          <cell r="B173" t="str">
            <v>유재호</v>
          </cell>
          <cell r="C173">
            <v>45867</v>
          </cell>
          <cell r="D173" t="str">
            <v>설화수 진설명작크림 (견) 5ML (AD 외캡</v>
          </cell>
          <cell r="E173">
            <v>10</v>
          </cell>
          <cell r="H173">
            <v>120</v>
          </cell>
          <cell r="K173">
            <v>4</v>
          </cell>
          <cell r="N173">
            <v>35</v>
          </cell>
        </row>
        <row r="174">
          <cell r="A174" t="str">
            <v>SI1633_20250708</v>
          </cell>
          <cell r="B174" t="str">
            <v>유재호</v>
          </cell>
          <cell r="C174">
            <v>45868</v>
          </cell>
          <cell r="D174" t="str">
            <v>설화수 진설명작크림 (견) 5ML (AD 용기받침</v>
          </cell>
          <cell r="E174">
            <v>15</v>
          </cell>
          <cell r="H174">
            <v>120</v>
          </cell>
          <cell r="K174">
            <v>4</v>
          </cell>
          <cell r="N174">
            <v>30</v>
          </cell>
        </row>
        <row r="175">
          <cell r="A175" t="str">
            <v>SI1627_20250708</v>
          </cell>
          <cell r="B175" t="str">
            <v>유재호</v>
          </cell>
          <cell r="C175">
            <v>45867</v>
          </cell>
          <cell r="D175" t="str">
            <v>설화수 진설명작크림 (견) 10ML (AD 용기받침</v>
          </cell>
          <cell r="E175">
            <v>15</v>
          </cell>
          <cell r="H175">
            <v>120</v>
          </cell>
          <cell r="K175">
            <v>4</v>
          </cell>
          <cell r="N175">
            <v>32</v>
          </cell>
        </row>
        <row r="176">
          <cell r="A176" t="str">
            <v>SI1619_20250708</v>
          </cell>
          <cell r="B176" t="str">
            <v>유재호</v>
          </cell>
          <cell r="C176">
            <v>45862</v>
          </cell>
          <cell r="D176" t="str">
            <v>설화수 진설명작크림 60ML (26AD 외용기</v>
          </cell>
          <cell r="E176">
            <v>8</v>
          </cell>
          <cell r="H176">
            <v>125</v>
          </cell>
          <cell r="K176">
            <v>10</v>
          </cell>
          <cell r="N176">
            <v>16.350000000000001</v>
          </cell>
        </row>
        <row r="177">
          <cell r="A177" t="str">
            <v>SI1623_20250708</v>
          </cell>
          <cell r="B177" t="str">
            <v>유재호</v>
          </cell>
          <cell r="C177">
            <v>45862</v>
          </cell>
          <cell r="D177" t="str">
            <v>설화수 진설명작크림 리필 60ML (26AD 단캡</v>
          </cell>
          <cell r="E177">
            <v>10</v>
          </cell>
          <cell r="H177">
            <v>100</v>
          </cell>
          <cell r="K177">
            <v>3</v>
          </cell>
          <cell r="N177">
            <v>25</v>
          </cell>
        </row>
        <row r="178">
          <cell r="A178" t="str">
            <v>SI1616_20250708</v>
          </cell>
          <cell r="B178" t="str">
            <v>유재호</v>
          </cell>
          <cell r="C178">
            <v>45861</v>
          </cell>
          <cell r="D178" t="str">
            <v>설화수 진설명작크림 60ML (26AD 사출덮개</v>
          </cell>
          <cell r="E178">
            <v>30</v>
          </cell>
          <cell r="H178">
            <v>110</v>
          </cell>
          <cell r="K178">
            <v>2</v>
          </cell>
          <cell r="N178">
            <v>6.7</v>
          </cell>
        </row>
        <row r="179">
          <cell r="A179" t="str">
            <v>SI1629_20250708</v>
          </cell>
          <cell r="B179" t="str">
            <v>유재호</v>
          </cell>
          <cell r="C179">
            <v>45861</v>
          </cell>
          <cell r="D179" t="str">
            <v>설화수 진설명작크림 (견) 10ML (AD 사출덮개</v>
          </cell>
          <cell r="E179">
            <v>30</v>
          </cell>
          <cell r="H179">
            <v>120</v>
          </cell>
          <cell r="K179">
            <v>3</v>
          </cell>
          <cell r="N179">
            <v>7.2</v>
          </cell>
        </row>
        <row r="180">
          <cell r="A180" t="str">
            <v>SI1634_20250723</v>
          </cell>
          <cell r="B180" t="str">
            <v>유재호</v>
          </cell>
          <cell r="C180">
            <v>45861</v>
          </cell>
          <cell r="D180" t="str">
            <v>설화수 진설명작크림 (견) 5ML (AD 사출덮개</v>
          </cell>
          <cell r="E180">
            <v>30</v>
          </cell>
          <cell r="H180">
            <v>105</v>
          </cell>
          <cell r="K180">
            <v>2</v>
          </cell>
          <cell r="N180">
            <v>8.8000000000000007</v>
          </cell>
        </row>
        <row r="181">
          <cell r="A181" t="str">
            <v>SI1622_20250708</v>
          </cell>
          <cell r="B181" t="str">
            <v>유재호</v>
          </cell>
          <cell r="C181">
            <v>45859</v>
          </cell>
          <cell r="D181" t="str">
            <v>설화수 진설명작크림 60ML (26AD 스파츌러대 사출</v>
          </cell>
          <cell r="E181">
            <v>10</v>
          </cell>
          <cell r="H181">
            <v>65</v>
          </cell>
          <cell r="K181">
            <v>3.5</v>
          </cell>
          <cell r="N181">
            <v>22</v>
          </cell>
        </row>
        <row r="182">
          <cell r="A182" t="str">
            <v>SI1618_20250708</v>
          </cell>
          <cell r="B182" t="str">
            <v>유재호</v>
          </cell>
          <cell r="C182">
            <v>45860</v>
          </cell>
          <cell r="D182" t="str">
            <v>설화수 진설명작크림 60ML (26AD 내용기</v>
          </cell>
          <cell r="E182">
            <v>10</v>
          </cell>
          <cell r="H182">
            <v>60</v>
          </cell>
          <cell r="K182">
            <v>2</v>
          </cell>
          <cell r="N182">
            <v>24</v>
          </cell>
        </row>
        <row r="183">
          <cell r="A183" t="str">
            <v>SI1620_20250708</v>
          </cell>
          <cell r="B183" t="str">
            <v>유재호</v>
          </cell>
          <cell r="C183">
            <v>45859</v>
          </cell>
          <cell r="D183" t="str">
            <v>설화수 진설명작크림 60ML (26AD 용기받침 사출</v>
          </cell>
          <cell r="E183">
            <v>10</v>
          </cell>
          <cell r="H183">
            <v>60</v>
          </cell>
          <cell r="K183">
            <v>3</v>
          </cell>
          <cell r="N183">
            <v>29</v>
          </cell>
        </row>
        <row r="184">
          <cell r="A184" t="str">
            <v>SI1621_20250708</v>
          </cell>
          <cell r="B184" t="str">
            <v>유재호</v>
          </cell>
          <cell r="C184">
            <v>45859</v>
          </cell>
          <cell r="D184" t="str">
            <v>설화수 진설명작크림 60ML (26AD 숄더장식 사출</v>
          </cell>
          <cell r="E184">
            <v>10</v>
          </cell>
          <cell r="H184">
            <v>80</v>
          </cell>
          <cell r="K184">
            <v>2</v>
          </cell>
        </row>
        <row r="185">
          <cell r="A185" t="str">
            <v>SI1617_20250708</v>
          </cell>
          <cell r="B185" t="str">
            <v>장세래</v>
          </cell>
          <cell r="C185">
            <v>45855</v>
          </cell>
          <cell r="D185" t="str">
            <v>설화수 진설명작크림 60ML (26AD 중용기</v>
          </cell>
          <cell r="E185">
            <v>10</v>
          </cell>
          <cell r="F185">
            <v>2</v>
          </cell>
          <cell r="H185">
            <v>120</v>
          </cell>
          <cell r="I185">
            <v>10</v>
          </cell>
          <cell r="K185">
            <v>3</v>
          </cell>
          <cell r="L185">
            <v>0.5</v>
          </cell>
          <cell r="N185">
            <v>18.3</v>
          </cell>
        </row>
        <row r="186">
          <cell r="A186" t="str">
            <v>SI1615_20250708</v>
          </cell>
          <cell r="B186" t="str">
            <v>장세래</v>
          </cell>
          <cell r="C186">
            <v>45854</v>
          </cell>
          <cell r="D186" t="str">
            <v>설화수 진설명작크림 60ML (26AD 캡장식-하단링</v>
          </cell>
          <cell r="E186">
            <v>10</v>
          </cell>
          <cell r="F186">
            <v>2</v>
          </cell>
          <cell r="H186">
            <v>140</v>
          </cell>
          <cell r="I186">
            <v>10</v>
          </cell>
          <cell r="K186">
            <v>2</v>
          </cell>
          <cell r="L186">
            <v>0.5</v>
          </cell>
          <cell r="N186">
            <v>28.3</v>
          </cell>
        </row>
        <row r="187">
          <cell r="A187" t="str">
            <v>SI1609_20250708</v>
          </cell>
          <cell r="B187" t="str">
            <v>장세래</v>
          </cell>
          <cell r="C187">
            <v>45854</v>
          </cell>
          <cell r="D187" t="str">
            <v>홀리추얼 울트라 너리싱 어드밴스드 토너 150ML 외캡 사출</v>
          </cell>
          <cell r="E187">
            <v>10</v>
          </cell>
          <cell r="F187">
            <v>2</v>
          </cell>
          <cell r="H187">
            <v>125</v>
          </cell>
          <cell r="I187">
            <v>10</v>
          </cell>
          <cell r="K187">
            <v>3</v>
          </cell>
          <cell r="L187">
            <v>0.5</v>
          </cell>
          <cell r="N187">
            <v>13.8</v>
          </cell>
        </row>
        <row r="188">
          <cell r="A188" t="str">
            <v>SI1614_20250708</v>
          </cell>
          <cell r="B188" t="str">
            <v>장세래</v>
          </cell>
          <cell r="C188">
            <v>45853</v>
          </cell>
          <cell r="D188" t="str">
            <v>설화수 진설명작크림 60ML (26AD 내캡</v>
          </cell>
          <cell r="E188">
            <v>10</v>
          </cell>
          <cell r="F188">
            <v>2</v>
          </cell>
          <cell r="H188">
            <v>70</v>
          </cell>
          <cell r="I188">
            <v>10</v>
          </cell>
          <cell r="K188">
            <v>3</v>
          </cell>
          <cell r="L188">
            <v>0.5</v>
          </cell>
          <cell r="N188">
            <v>21.5</v>
          </cell>
        </row>
        <row r="189">
          <cell r="A189" t="str">
            <v>SI1610_20250703</v>
          </cell>
          <cell r="B189" t="str">
            <v>장세래</v>
          </cell>
          <cell r="C189">
            <v>45841</v>
          </cell>
          <cell r="D189" t="str">
            <v>홀리추얼 울트라 너리싱 어드밴스드 토너 150ML 캡장식 사출</v>
          </cell>
          <cell r="E189">
            <v>10</v>
          </cell>
          <cell r="F189">
            <v>2</v>
          </cell>
          <cell r="H189">
            <v>60</v>
          </cell>
          <cell r="I189">
            <v>10</v>
          </cell>
          <cell r="K189">
            <v>2</v>
          </cell>
          <cell r="L189">
            <v>0.5</v>
          </cell>
          <cell r="N189">
            <v>13.01</v>
          </cell>
        </row>
        <row r="190">
          <cell r="A190" t="str">
            <v>SI1609_20250703</v>
          </cell>
          <cell r="B190">
            <v>0</v>
          </cell>
          <cell r="C190">
            <v>45841</v>
          </cell>
          <cell r="D190" t="str">
            <v>홀리추얼 울트라 너리싱 어드밴스드 토너 150ML 외캡 사출</v>
          </cell>
          <cell r="E190">
            <v>10</v>
          </cell>
          <cell r="F190">
            <v>2</v>
          </cell>
          <cell r="H190">
            <v>120</v>
          </cell>
          <cell r="I190">
            <v>10</v>
          </cell>
          <cell r="K190">
            <v>3</v>
          </cell>
          <cell r="L190">
            <v>0.5</v>
          </cell>
          <cell r="N190">
            <v>11.72</v>
          </cell>
        </row>
        <row r="191">
          <cell r="A191" t="str">
            <v>SI1611_20250703</v>
          </cell>
          <cell r="B191" t="str">
            <v>장세래</v>
          </cell>
          <cell r="C191">
            <v>45841</v>
          </cell>
          <cell r="D191" t="str">
            <v>홀리추얼 울트라 너리싱 어드밴스드 토너 150ML 내캡</v>
          </cell>
          <cell r="E191">
            <v>10</v>
          </cell>
          <cell r="F191">
            <v>5</v>
          </cell>
          <cell r="H191">
            <v>80</v>
          </cell>
          <cell r="I191">
            <v>10</v>
          </cell>
          <cell r="N191">
            <v>6.3</v>
          </cell>
        </row>
        <row r="192">
          <cell r="A192" t="str">
            <v>SI1606_20250630</v>
          </cell>
          <cell r="B192" t="str">
            <v>유재호</v>
          </cell>
          <cell r="C192">
            <v>45840</v>
          </cell>
          <cell r="D192" t="str">
            <v>(EUSA)라네즈 실키앤스무스 토너 150mL (26 내캡</v>
          </cell>
          <cell r="E192">
            <v>10</v>
          </cell>
          <cell r="F192">
            <v>5</v>
          </cell>
          <cell r="H192">
            <v>90</v>
          </cell>
          <cell r="I192">
            <v>10</v>
          </cell>
          <cell r="K192">
            <v>3</v>
          </cell>
          <cell r="L192">
            <v>0.5</v>
          </cell>
        </row>
        <row r="193">
          <cell r="A193" t="str">
            <v>SI1600_20250623</v>
          </cell>
          <cell r="B193" t="str">
            <v>유재호</v>
          </cell>
          <cell r="C193">
            <v>45835</v>
          </cell>
          <cell r="D193" t="str">
            <v>미쟝센 퍼펙트 오일 인퓨전 헤어 마스크150g(25 단캡</v>
          </cell>
          <cell r="E193">
            <v>10</v>
          </cell>
          <cell r="F193">
            <v>5</v>
          </cell>
          <cell r="H193">
            <v>850</v>
          </cell>
          <cell r="I193">
            <v>100</v>
          </cell>
          <cell r="K193">
            <v>3</v>
          </cell>
          <cell r="L193">
            <v>0.5</v>
          </cell>
          <cell r="N193">
            <v>8</v>
          </cell>
        </row>
        <row r="194">
          <cell r="A194" t="str">
            <v>SI1601_20250618</v>
          </cell>
          <cell r="B194" t="str">
            <v>한창구</v>
          </cell>
          <cell r="C194">
            <v>45835</v>
          </cell>
          <cell r="D194" t="str">
            <v>미쟝센 퍼펙트 오일 인퓨전 헤어 마스크150g(25 단용기</v>
          </cell>
          <cell r="E194">
            <v>10</v>
          </cell>
          <cell r="F194">
            <v>5</v>
          </cell>
          <cell r="H194">
            <v>750</v>
          </cell>
          <cell r="I194">
            <v>10</v>
          </cell>
          <cell r="K194">
            <v>2</v>
          </cell>
          <cell r="L194">
            <v>0.5</v>
          </cell>
        </row>
        <row r="195">
          <cell r="A195" t="str">
            <v>SI1606_20250618</v>
          </cell>
          <cell r="B195" t="str">
            <v>장세래</v>
          </cell>
          <cell r="C195">
            <v>45833</v>
          </cell>
          <cell r="D195" t="str">
            <v>(EUSA)라네즈 실키앤스무스 토너 150mL (26 내캡</v>
          </cell>
          <cell r="E195">
            <v>10</v>
          </cell>
          <cell r="F195">
            <v>5</v>
          </cell>
          <cell r="H195">
            <v>900</v>
          </cell>
          <cell r="I195">
            <v>10</v>
          </cell>
          <cell r="K195">
            <v>3</v>
          </cell>
          <cell r="L195">
            <v>0.5</v>
          </cell>
          <cell r="N195">
            <v>8.5</v>
          </cell>
        </row>
        <row r="196">
          <cell r="A196" t="str">
            <v>SI1611_20250623</v>
          </cell>
          <cell r="B196" t="str">
            <v>장세래</v>
          </cell>
          <cell r="C196">
            <v>45833</v>
          </cell>
          <cell r="D196" t="str">
            <v>홀리추얼 울트라 너리싱 어드밴스드 토너 150ML 내캡</v>
          </cell>
          <cell r="E196">
            <v>10</v>
          </cell>
          <cell r="F196">
            <v>2</v>
          </cell>
          <cell r="H196">
            <v>50</v>
          </cell>
          <cell r="I196">
            <v>10</v>
          </cell>
          <cell r="K196">
            <v>2</v>
          </cell>
          <cell r="L196">
            <v>0.5</v>
          </cell>
          <cell r="N196">
            <v>20.5</v>
          </cell>
        </row>
        <row r="197">
          <cell r="A197" t="str">
            <v>SI1609_20250623</v>
          </cell>
          <cell r="B197" t="str">
            <v>장세래</v>
          </cell>
          <cell r="C197">
            <v>45832</v>
          </cell>
          <cell r="D197" t="str">
            <v>홀리추얼 울트라 너리싱 어드밴스드 토너 150ML 외캡 사출</v>
          </cell>
          <cell r="E197">
            <v>10</v>
          </cell>
          <cell r="F197">
            <v>2</v>
          </cell>
          <cell r="H197">
            <v>80</v>
          </cell>
          <cell r="I197">
            <v>10</v>
          </cell>
          <cell r="K197">
            <v>3</v>
          </cell>
          <cell r="L197">
            <v>0.5</v>
          </cell>
          <cell r="N197">
            <v>15.3</v>
          </cell>
        </row>
        <row r="198">
          <cell r="A198" t="str">
            <v>SI1610_20250623</v>
          </cell>
          <cell r="B198" t="str">
            <v>장세래</v>
          </cell>
          <cell r="C198">
            <v>45832</v>
          </cell>
          <cell r="D198" t="str">
            <v>홀리추얼 울트라 너리싱 어드밴스드 토너 150ML 캡장식 사출</v>
          </cell>
          <cell r="E198">
            <v>10</v>
          </cell>
          <cell r="F198">
            <v>5</v>
          </cell>
          <cell r="H198">
            <v>60</v>
          </cell>
          <cell r="I198">
            <v>10</v>
          </cell>
          <cell r="K198">
            <v>2</v>
          </cell>
          <cell r="L198">
            <v>0.5</v>
          </cell>
          <cell r="N198">
            <v>14.1</v>
          </cell>
        </row>
        <row r="199">
          <cell r="A199" t="str">
            <v>SI1600_20250613</v>
          </cell>
          <cell r="B199" t="str">
            <v>한창구</v>
          </cell>
          <cell r="C199">
            <v>45821</v>
          </cell>
          <cell r="D199" t="str">
            <v>미쟝센 퍼펙트 오일 인퓨전 헤어 마스크150g(25 단캡</v>
          </cell>
          <cell r="E199">
            <v>10</v>
          </cell>
          <cell r="H199">
            <v>850</v>
          </cell>
          <cell r="K199">
            <v>3</v>
          </cell>
          <cell r="N199">
            <v>7.8</v>
          </cell>
        </row>
        <row r="200">
          <cell r="A200" t="str">
            <v>SI1606_20250609</v>
          </cell>
          <cell r="B200" t="str">
            <v>장세래</v>
          </cell>
          <cell r="C200">
            <v>45821</v>
          </cell>
          <cell r="D200" t="str">
            <v>(EUSA)라네즈 실키앤스무스 토너 150mL (26 내캡</v>
          </cell>
          <cell r="E200">
            <v>10</v>
          </cell>
          <cell r="H200">
            <v>90</v>
          </cell>
          <cell r="K200">
            <v>3</v>
          </cell>
          <cell r="N200">
            <v>19.690000000000001</v>
          </cell>
        </row>
        <row r="201">
          <cell r="A201" t="str">
            <v>김유미</v>
          </cell>
          <cell r="B201" t="str">
            <v/>
          </cell>
          <cell r="C201" t="str">
            <v/>
          </cell>
          <cell r="D201" t="str">
            <v/>
          </cell>
        </row>
        <row r="202">
          <cell r="A202" t="str">
            <v>테스트</v>
          </cell>
          <cell r="B202" t="str">
            <v/>
          </cell>
          <cell r="C202" t="str">
            <v/>
          </cell>
          <cell r="D202" t="str">
            <v/>
          </cell>
        </row>
        <row r="203">
          <cell r="A203" t="str">
            <v>SI1600_20250606</v>
          </cell>
          <cell r="B203" t="str">
            <v>장세래</v>
          </cell>
          <cell r="C203">
            <v>45814</v>
          </cell>
          <cell r="D203" t="str">
            <v>미쟝센 퍼펙트 오일 인퓨전 헤어 마스크150g(25 단캡</v>
          </cell>
          <cell r="E203">
            <v>10</v>
          </cell>
          <cell r="F203">
            <v>5</v>
          </cell>
          <cell r="H203">
            <v>850</v>
          </cell>
          <cell r="I203">
            <v>10</v>
          </cell>
          <cell r="K203">
            <v>3</v>
          </cell>
          <cell r="L203">
            <v>0.5</v>
          </cell>
          <cell r="N203">
            <v>7.4</v>
          </cell>
        </row>
        <row r="204">
          <cell r="A204" t="str">
            <v>SI1605_20250522</v>
          </cell>
          <cell r="B204" t="str">
            <v>장세래</v>
          </cell>
          <cell r="C204">
            <v>45812</v>
          </cell>
          <cell r="D204" t="str">
            <v>(EUSA)라네즈 실키앤스무스 토너 150mL (26 외캡</v>
          </cell>
          <cell r="E204">
            <v>10</v>
          </cell>
          <cell r="F204">
            <v>5</v>
          </cell>
          <cell r="H204">
            <v>1400</v>
          </cell>
          <cell r="I204">
            <v>10</v>
          </cell>
          <cell r="K204">
            <v>4</v>
          </cell>
          <cell r="L204">
            <v>1</v>
          </cell>
        </row>
        <row r="205">
          <cell r="A205" t="str">
            <v>SI1606_20250522</v>
          </cell>
          <cell r="B205" t="str">
            <v>장세래</v>
          </cell>
          <cell r="C205">
            <v>45806</v>
          </cell>
          <cell r="D205" t="str">
            <v>(EUSA)라네즈 실키앤스무스 토너 150mL (26 내캡</v>
          </cell>
          <cell r="E205">
            <v>10</v>
          </cell>
          <cell r="F205">
            <v>5</v>
          </cell>
        </row>
        <row r="206">
          <cell r="A206" t="str">
            <v>SI1606_20250519</v>
          </cell>
          <cell r="B206" t="str">
            <v>한창구</v>
          </cell>
          <cell r="C206">
            <v>45797</v>
          </cell>
          <cell r="D206" t="str">
            <v>(EUSA)라네즈 실키앤스무스 토너 150mL (26 내캡</v>
          </cell>
          <cell r="E206">
            <v>8</v>
          </cell>
          <cell r="H206">
            <v>1050</v>
          </cell>
          <cell r="K206">
            <v>3</v>
          </cell>
        </row>
        <row r="207">
          <cell r="A207" t="str">
            <v>SI1605_20250519</v>
          </cell>
          <cell r="B207" t="str">
            <v>유재호</v>
          </cell>
          <cell r="C207">
            <v>45796</v>
          </cell>
          <cell r="D207" t="str">
            <v>(EUSA)라네즈 실키앤스무스 토너 150mL (26 외캡</v>
          </cell>
          <cell r="E207">
            <v>5</v>
          </cell>
          <cell r="H207">
            <v>1100</v>
          </cell>
          <cell r="K207">
            <v>3</v>
          </cell>
        </row>
        <row r="208">
          <cell r="A208" t="str">
            <v>SI1600_20250421</v>
          </cell>
          <cell r="B208" t="str">
            <v/>
          </cell>
          <cell r="C208" t="str">
            <v/>
          </cell>
          <cell r="D208" t="str">
            <v/>
          </cell>
          <cell r="E208">
            <v>10</v>
          </cell>
          <cell r="F208">
            <v>2</v>
          </cell>
          <cell r="H208">
            <v>70</v>
          </cell>
          <cell r="I208">
            <v>5</v>
          </cell>
          <cell r="K208">
            <v>4</v>
          </cell>
          <cell r="L208">
            <v>0.5</v>
          </cell>
          <cell r="N208">
            <v>29.2</v>
          </cell>
        </row>
        <row r="209">
          <cell r="A209" t="str">
            <v>SI1600_20250416</v>
          </cell>
          <cell r="B209" t="str">
            <v>장세래</v>
          </cell>
          <cell r="C209">
            <v>45768</v>
          </cell>
          <cell r="D209" t="str">
            <v>미쟝센 퍼펙트 오일 인퓨전 헤어 마스크150g(25 단캡</v>
          </cell>
          <cell r="E209">
            <v>10</v>
          </cell>
          <cell r="F209">
            <v>2</v>
          </cell>
          <cell r="H209">
            <v>80</v>
          </cell>
          <cell r="I209">
            <v>5</v>
          </cell>
          <cell r="K209">
            <v>3</v>
          </cell>
          <cell r="L209">
            <v>0.5</v>
          </cell>
          <cell r="N209">
            <v>29.2</v>
          </cell>
        </row>
        <row r="210">
          <cell r="A210" t="str">
            <v>SI1601_20250417</v>
          </cell>
          <cell r="B210" t="str">
            <v>장세래</v>
          </cell>
          <cell r="C210">
            <v>45765</v>
          </cell>
          <cell r="D210" t="str">
            <v>미쟝센 퍼펙트 오일 인퓨전 헤어 마스크150g(25 단용기</v>
          </cell>
          <cell r="E210">
            <v>10</v>
          </cell>
          <cell r="F210">
            <v>2</v>
          </cell>
          <cell r="H210">
            <v>60</v>
          </cell>
          <cell r="I210">
            <v>10</v>
          </cell>
          <cell r="K210">
            <v>4</v>
          </cell>
          <cell r="L210">
            <v>0.5</v>
          </cell>
          <cell r="N210">
            <v>14</v>
          </cell>
        </row>
        <row r="211">
          <cell r="A211" t="str">
            <v>SI1598_20250408</v>
          </cell>
          <cell r="B211" t="str">
            <v>유재호</v>
          </cell>
          <cell r="C211">
            <v>45756</v>
          </cell>
          <cell r="D211" t="str">
            <v>라네즈 바운시슬리핑마스크 70ML (20AD 단캡</v>
          </cell>
          <cell r="E211">
            <v>8</v>
          </cell>
          <cell r="H211">
            <v>95</v>
          </cell>
          <cell r="K211">
            <v>4</v>
          </cell>
          <cell r="N211">
            <v>27</v>
          </cell>
        </row>
        <row r="212">
          <cell r="A212" t="str">
            <v>SI1601_20250402</v>
          </cell>
          <cell r="B212" t="str">
            <v>장세래</v>
          </cell>
          <cell r="C212">
            <v>45751</v>
          </cell>
          <cell r="D212" t="str">
            <v>미쟝센 퍼펙트 오일 인퓨전 헤어 마스크150g(25 단용기</v>
          </cell>
          <cell r="E212">
            <v>10</v>
          </cell>
          <cell r="F212">
            <v>5</v>
          </cell>
          <cell r="H212">
            <v>60</v>
          </cell>
          <cell r="I212">
            <v>10</v>
          </cell>
          <cell r="K212">
            <v>4</v>
          </cell>
          <cell r="L212">
            <v>0.5</v>
          </cell>
        </row>
        <row r="213">
          <cell r="A213" t="str">
            <v>SI1600_20250402</v>
          </cell>
          <cell r="B213" t="str">
            <v>장세래</v>
          </cell>
          <cell r="C213">
            <v>45751</v>
          </cell>
          <cell r="D213" t="str">
            <v>미쟝센 퍼펙트 오일 인퓨전 헤어 마스크150g(25 단캡</v>
          </cell>
          <cell r="E213">
            <v>20</v>
          </cell>
          <cell r="F213">
            <v>10</v>
          </cell>
          <cell r="H213">
            <v>80</v>
          </cell>
          <cell r="I213">
            <v>10</v>
          </cell>
          <cell r="K213">
            <v>10</v>
          </cell>
          <cell r="L213">
            <v>1</v>
          </cell>
          <cell r="N213">
            <v>26.3</v>
          </cell>
        </row>
        <row r="214">
          <cell r="A214" t="str">
            <v>SI1558_20250321</v>
          </cell>
          <cell r="B214" t="str">
            <v>유재호</v>
          </cell>
          <cell r="C214">
            <v>45737</v>
          </cell>
          <cell r="D214" t="str">
            <v>라보에이치 모발강화 트리트먼트 200ml 50파이 장식</v>
          </cell>
          <cell r="E214">
            <v>10</v>
          </cell>
          <cell r="H214">
            <v>80</v>
          </cell>
          <cell r="K214">
            <v>4</v>
          </cell>
          <cell r="N214">
            <v>23</v>
          </cell>
        </row>
        <row r="215">
          <cell r="A215" t="str">
            <v>SI1560_20250321</v>
          </cell>
          <cell r="B215" t="str">
            <v>유재호</v>
          </cell>
          <cell r="C215">
            <v>45737</v>
          </cell>
          <cell r="D215" t="str">
            <v>라보에이치 모발강화 트리트먼트 300ml 60파이 장식</v>
          </cell>
          <cell r="E215">
            <v>10</v>
          </cell>
          <cell r="H215">
            <v>80</v>
          </cell>
          <cell r="K215">
            <v>4</v>
          </cell>
        </row>
        <row r="216">
          <cell r="A216" t="str">
            <v>SI1596_20250318</v>
          </cell>
          <cell r="B216" t="str">
            <v>한창구</v>
          </cell>
          <cell r="C216">
            <v>45735</v>
          </cell>
          <cell r="D216" t="str">
            <v>라네즈 워터슬리핑마스크 70ML (20AD 외용기</v>
          </cell>
          <cell r="E216">
            <v>10</v>
          </cell>
          <cell r="H216">
            <v>70</v>
          </cell>
          <cell r="K216">
            <v>6</v>
          </cell>
        </row>
        <row r="217">
          <cell r="A217" t="str">
            <v>SI1597_20250307</v>
          </cell>
          <cell r="B217" t="str">
            <v>유재호</v>
          </cell>
          <cell r="C217">
            <v>45723</v>
          </cell>
          <cell r="D217" t="str">
            <v>아모레 원터치캡 45파이</v>
          </cell>
          <cell r="E217">
            <v>10</v>
          </cell>
          <cell r="H217">
            <v>65</v>
          </cell>
          <cell r="K217">
            <v>1</v>
          </cell>
          <cell r="N217">
            <v>28.3</v>
          </cell>
        </row>
        <row r="218">
          <cell r="A218" t="str">
            <v>SI1592_20250204</v>
          </cell>
          <cell r="B218" t="str">
            <v>유재호</v>
          </cell>
          <cell r="C218">
            <v>45716</v>
          </cell>
          <cell r="D218" t="str">
            <v>라네즈 워터슬리핑마스크 70ML (20AD 내용기</v>
          </cell>
          <cell r="E218">
            <v>15</v>
          </cell>
          <cell r="H218">
            <v>100</v>
          </cell>
          <cell r="K218">
            <v>2</v>
          </cell>
        </row>
        <row r="219">
          <cell r="A219" t="str">
            <v>SI1590_20250204</v>
          </cell>
          <cell r="B219" t="str">
            <v>유재호</v>
          </cell>
          <cell r="C219">
            <v>45716</v>
          </cell>
          <cell r="D219" t="str">
            <v/>
          </cell>
          <cell r="E219">
            <v>12</v>
          </cell>
          <cell r="H219">
            <v>95</v>
          </cell>
          <cell r="K219">
            <v>2</v>
          </cell>
          <cell r="N219">
            <v>10.3</v>
          </cell>
        </row>
        <row r="220">
          <cell r="A220" t="str">
            <v>SI1543_20250227</v>
          </cell>
          <cell r="B220" t="str">
            <v>유재호</v>
          </cell>
          <cell r="C220">
            <v>45715</v>
          </cell>
          <cell r="D220" t="str">
            <v>아이오페 스템Ⅲ 클리니컬 리커버리 크림 50ML(25) 내용기</v>
          </cell>
          <cell r="E220">
            <v>10</v>
          </cell>
          <cell r="H220">
            <v>80</v>
          </cell>
          <cell r="K220">
            <v>2</v>
          </cell>
          <cell r="N220">
            <v>19.3</v>
          </cell>
        </row>
        <row r="221">
          <cell r="A221" t="str">
            <v>SI1591_20250224</v>
          </cell>
          <cell r="B221" t="str">
            <v>유재호</v>
          </cell>
          <cell r="C221">
            <v>45712</v>
          </cell>
          <cell r="D221" t="str">
            <v>라네즈 워터슬리핑마스크 70ML (20AD 단캡</v>
          </cell>
          <cell r="E221">
            <v>20</v>
          </cell>
          <cell r="H221">
            <v>70</v>
          </cell>
          <cell r="K221">
            <v>3</v>
          </cell>
          <cell r="N221">
            <v>21</v>
          </cell>
        </row>
        <row r="222">
          <cell r="A222" t="str">
            <v>SI1591_20250204</v>
          </cell>
          <cell r="B222" t="str">
            <v>장세래</v>
          </cell>
          <cell r="C222">
            <v>45708</v>
          </cell>
          <cell r="D222" t="str">
            <v>라네즈 워터슬리핑마스크 70ML (20AD 단캡</v>
          </cell>
          <cell r="E222">
            <v>20</v>
          </cell>
          <cell r="H222">
            <v>70</v>
          </cell>
          <cell r="K222">
            <v>4</v>
          </cell>
          <cell r="N222">
            <v>21.3</v>
          </cell>
        </row>
        <row r="223">
          <cell r="A223" t="str">
            <v>SI1596_20250219</v>
          </cell>
          <cell r="B223" t="str">
            <v>장세래</v>
          </cell>
          <cell r="C223">
            <v>45707</v>
          </cell>
          <cell r="D223" t="str">
            <v>라네즈 워터슬리핑마스크 70ML (20AD 외용기</v>
          </cell>
          <cell r="E223">
            <v>10</v>
          </cell>
          <cell r="H223">
            <v>70</v>
          </cell>
          <cell r="K223">
            <v>6</v>
          </cell>
          <cell r="N223">
            <v>11.2</v>
          </cell>
        </row>
        <row r="224">
          <cell r="A224" t="str">
            <v>SI1541_20250204</v>
          </cell>
          <cell r="B224" t="str">
            <v>장세래</v>
          </cell>
          <cell r="C224">
            <v>45701</v>
          </cell>
          <cell r="D224" t="str">
            <v>아이오페 스템Ⅲ 클리니컬 리커버리 크림 50ML(25) 외캡 사출</v>
          </cell>
          <cell r="E224">
            <v>10</v>
          </cell>
          <cell r="H224">
            <v>120</v>
          </cell>
          <cell r="K224">
            <v>3</v>
          </cell>
          <cell r="N224">
            <v>11.5</v>
          </cell>
        </row>
        <row r="225">
          <cell r="A225" t="str">
            <v>SI1540_20250204</v>
          </cell>
          <cell r="B225" t="str">
            <v>장세래</v>
          </cell>
          <cell r="C225">
            <v>45700</v>
          </cell>
          <cell r="D225" t="str">
            <v>아이오페 스템Ⅲ 클리니컬 리커버리 크림 50ML(25) 캡장식 사출</v>
          </cell>
          <cell r="E225">
            <v>10</v>
          </cell>
          <cell r="H225">
            <v>120</v>
          </cell>
          <cell r="K225">
            <v>4</v>
          </cell>
          <cell r="N225">
            <v>5.2</v>
          </cell>
        </row>
        <row r="226">
          <cell r="A226" t="str">
            <v>SI1542_20250204</v>
          </cell>
          <cell r="B226" t="str">
            <v>유재호</v>
          </cell>
          <cell r="C226">
            <v>45699</v>
          </cell>
          <cell r="D226" t="str">
            <v>아이오페 스템Ⅲ 클리니컬 리커버리 크림 50ML(25) 내캡 사출</v>
          </cell>
          <cell r="E226">
            <v>10</v>
          </cell>
          <cell r="H226">
            <v>100</v>
          </cell>
          <cell r="K226">
            <v>4</v>
          </cell>
          <cell r="N226">
            <v>34</v>
          </cell>
        </row>
        <row r="227">
          <cell r="A227" t="str">
            <v>SI1543_20250204</v>
          </cell>
          <cell r="B227" t="str">
            <v>유재호</v>
          </cell>
          <cell r="C227">
            <v>45699</v>
          </cell>
          <cell r="D227" t="str">
            <v>아이오페 스템Ⅲ 클리니컬 리커버리 크림 50ML(25) 내용기</v>
          </cell>
          <cell r="E227">
            <v>10</v>
          </cell>
          <cell r="F227">
            <v>10</v>
          </cell>
          <cell r="H227">
            <v>85</v>
          </cell>
          <cell r="I227">
            <v>20</v>
          </cell>
          <cell r="K227">
            <v>1</v>
          </cell>
          <cell r="L227">
            <v>0.5</v>
          </cell>
          <cell r="N227">
            <v>25</v>
          </cell>
        </row>
        <row r="228">
          <cell r="A228" t="str">
            <v>SI1569_20250114</v>
          </cell>
          <cell r="B228" t="str">
            <v>장세래</v>
          </cell>
          <cell r="C228">
            <v>45681</v>
          </cell>
          <cell r="D228" t="str">
            <v>(수출)라네즈 유스콜라겐드링크 25ml*30EA 패키지변경 25AD 캡</v>
          </cell>
          <cell r="E228">
            <v>10</v>
          </cell>
          <cell r="F228">
            <v>2</v>
          </cell>
          <cell r="H228">
            <v>120</v>
          </cell>
          <cell r="I228">
            <v>10</v>
          </cell>
          <cell r="K228">
            <v>3</v>
          </cell>
          <cell r="L228">
            <v>0.5</v>
          </cell>
          <cell r="N228">
            <v>27.06</v>
          </cell>
        </row>
        <row r="229">
          <cell r="A229" t="str">
            <v>SI1591_20250116</v>
          </cell>
          <cell r="B229" t="str">
            <v>유재호</v>
          </cell>
          <cell r="C229">
            <v>45681</v>
          </cell>
          <cell r="D229" t="str">
            <v>라네즈 워터슬리핑마스크 70ML (20AD 단캡</v>
          </cell>
          <cell r="E229">
            <v>10</v>
          </cell>
          <cell r="H229">
            <v>70</v>
          </cell>
          <cell r="K229">
            <v>4</v>
          </cell>
          <cell r="N229">
            <v>34</v>
          </cell>
        </row>
        <row r="230">
          <cell r="A230" t="str">
            <v>SI0992_20241014</v>
          </cell>
          <cell r="B230" t="str">
            <v>장세래</v>
          </cell>
          <cell r="C230">
            <v>45583</v>
          </cell>
          <cell r="D230" t="str">
            <v>일리윤 히알루론모이스춰수분크림 100ML (24 외용기 사출</v>
          </cell>
          <cell r="E230">
            <v>10</v>
          </cell>
          <cell r="H230">
            <v>40</v>
          </cell>
          <cell r="K230">
            <v>4</v>
          </cell>
          <cell r="N230">
            <v>9.3000000000000007</v>
          </cell>
        </row>
        <row r="231">
          <cell r="A231" t="str">
            <v>SI0993_20241014</v>
          </cell>
          <cell r="B231" t="str">
            <v>장세래</v>
          </cell>
          <cell r="C231">
            <v>45583</v>
          </cell>
          <cell r="D231" t="str">
            <v>일리윤 프로바이오틱스 스킨 배리어 크림 100ML 캡 사출</v>
          </cell>
          <cell r="E231">
            <v>10</v>
          </cell>
          <cell r="H231">
            <v>80</v>
          </cell>
        </row>
        <row r="232">
          <cell r="A232" t="str">
            <v>SI0994_20241014</v>
          </cell>
          <cell r="B232" t="str">
            <v>장세래</v>
          </cell>
          <cell r="C232">
            <v>45584</v>
          </cell>
          <cell r="D232" t="str">
            <v>일리윤 히알루론모이스춰수분크림 100ML (21 내용기 사출</v>
          </cell>
          <cell r="E232">
            <v>10</v>
          </cell>
          <cell r="H232">
            <v>50</v>
          </cell>
          <cell r="K232">
            <v>2</v>
          </cell>
          <cell r="N232">
            <v>26</v>
          </cell>
        </row>
        <row r="233">
          <cell r="A233" t="str">
            <v>SI1588_20241218</v>
          </cell>
          <cell r="B233" t="str">
            <v>남기갑</v>
          </cell>
          <cell r="C233">
            <v>45646</v>
          </cell>
          <cell r="D233" t="str">
            <v>아이오페 슈퍼바이탈 크림 50ML(24EC 캡장식</v>
          </cell>
          <cell r="E233">
            <v>15</v>
          </cell>
          <cell r="H233">
            <v>125</v>
          </cell>
          <cell r="K233">
            <v>3</v>
          </cell>
          <cell r="N233">
            <v>47.78</v>
          </cell>
        </row>
        <row r="234">
          <cell r="A234" t="str">
            <v>SI1588_20241219</v>
          </cell>
          <cell r="B234" t="str">
            <v>남기갑</v>
          </cell>
          <cell r="C234">
            <v>45646</v>
          </cell>
          <cell r="D234" t="str">
            <v>아이오페 슈퍼바이탈 크림 50ML(24EC 캡장식</v>
          </cell>
          <cell r="E234">
            <v>15</v>
          </cell>
          <cell r="H234">
            <v>135</v>
          </cell>
          <cell r="K234">
            <v>3</v>
          </cell>
          <cell r="N234">
            <v>46.76</v>
          </cell>
        </row>
        <row r="235">
          <cell r="A235" t="str">
            <v>SI1516_20241028</v>
          </cell>
          <cell r="B235" t="str">
            <v>장세래</v>
          </cell>
          <cell r="C235">
            <v>45594</v>
          </cell>
          <cell r="D235" t="str">
            <v>아이오페 슈퍼바이탈 크림 50ML(24EC 외캡</v>
          </cell>
          <cell r="E235">
            <v>10</v>
          </cell>
          <cell r="H235">
            <v>100</v>
          </cell>
          <cell r="K235">
            <v>210</v>
          </cell>
          <cell r="N235">
            <v>25.7</v>
          </cell>
        </row>
        <row r="236">
          <cell r="A236" t="str">
            <v>SI1589_20241218</v>
          </cell>
          <cell r="B236" t="str">
            <v>한창구</v>
          </cell>
          <cell r="C236">
            <v>45645</v>
          </cell>
          <cell r="D236" t="str">
            <v>아이오페 슈퍼바이탈 크림 50ML(24EC 외캡</v>
          </cell>
          <cell r="E236">
            <v>10</v>
          </cell>
          <cell r="H236">
            <v>110</v>
          </cell>
          <cell r="K236">
            <v>2</v>
          </cell>
        </row>
        <row r="237">
          <cell r="A237" t="str">
            <v>SI1589_20241219</v>
          </cell>
          <cell r="B237" t="str">
            <v>한창구</v>
          </cell>
          <cell r="C237">
            <v>45645</v>
          </cell>
          <cell r="D237" t="str">
            <v>아이오페 슈퍼바이탈 크림 50ML(24EC 외캡</v>
          </cell>
          <cell r="E237">
            <v>10</v>
          </cell>
          <cell r="H237">
            <v>125</v>
          </cell>
          <cell r="K237">
            <v>3</v>
          </cell>
        </row>
        <row r="238">
          <cell r="A238" t="str">
            <v>SI1518_20241028</v>
          </cell>
          <cell r="B238" t="str">
            <v>장세래</v>
          </cell>
          <cell r="C238">
            <v>45594</v>
          </cell>
          <cell r="D238" t="str">
            <v>아이오페 슈퍼바이탈 크림 50ML(24EC 외용기</v>
          </cell>
          <cell r="E238">
            <v>10</v>
          </cell>
          <cell r="H238">
            <v>110</v>
          </cell>
          <cell r="K238">
            <v>4</v>
          </cell>
          <cell r="N238">
            <v>6.8</v>
          </cell>
        </row>
        <row r="239">
          <cell r="A239" t="str">
            <v>SI1586_20241218</v>
          </cell>
          <cell r="B239" t="str">
            <v>장세래</v>
          </cell>
          <cell r="C239">
            <v>45644</v>
          </cell>
          <cell r="D239" t="str">
            <v>아이오페 슈퍼바이탈 크림 50ML(24EC 외용기</v>
          </cell>
          <cell r="E239">
            <v>45</v>
          </cell>
          <cell r="F239">
            <v>3</v>
          </cell>
          <cell r="H239">
            <v>70</v>
          </cell>
          <cell r="I239">
            <v>25</v>
          </cell>
          <cell r="K239">
            <v>2</v>
          </cell>
          <cell r="L239">
            <v>0.5</v>
          </cell>
          <cell r="N239">
            <v>226</v>
          </cell>
        </row>
        <row r="240">
          <cell r="A240" t="str">
            <v>SI1586_20241219</v>
          </cell>
          <cell r="B240" t="str">
            <v>장세래</v>
          </cell>
          <cell r="C240">
            <v>45644</v>
          </cell>
          <cell r="D240" t="str">
            <v>아이오페 슈퍼바이탈 크림 50ML(24EC 외용기</v>
          </cell>
          <cell r="E240">
            <v>45</v>
          </cell>
          <cell r="F240">
            <v>3</v>
          </cell>
          <cell r="H240">
            <v>70</v>
          </cell>
          <cell r="I240">
            <v>25</v>
          </cell>
          <cell r="K240">
            <v>2</v>
          </cell>
          <cell r="L240">
            <v>0.5</v>
          </cell>
          <cell r="N240">
            <v>226</v>
          </cell>
        </row>
        <row r="241">
          <cell r="A241" t="str">
            <v>SI1519_20241108</v>
          </cell>
          <cell r="B241" t="str">
            <v>유재호</v>
          </cell>
          <cell r="C241">
            <v>45607</v>
          </cell>
          <cell r="D241" t="str">
            <v>아이오페 슈퍼바이탈 크림 50ML(24EC 내용기</v>
          </cell>
          <cell r="N241">
            <v>20.100000000000001</v>
          </cell>
        </row>
        <row r="242">
          <cell r="A242" t="str">
            <v>SI1519_20241122</v>
          </cell>
          <cell r="B242" t="str">
            <v>장세래</v>
          </cell>
          <cell r="C242">
            <v>45621</v>
          </cell>
          <cell r="D242" t="str">
            <v>아이오페 슈퍼바이탈 크림 50ML(24EC 내용기</v>
          </cell>
          <cell r="E242">
            <v>10</v>
          </cell>
          <cell r="H242">
            <v>70</v>
          </cell>
          <cell r="K242">
            <v>3</v>
          </cell>
        </row>
        <row r="243">
          <cell r="A243" t="str">
            <v>SI1519_20241215</v>
          </cell>
          <cell r="B243" t="str">
            <v>한창구</v>
          </cell>
          <cell r="C243">
            <v>45643</v>
          </cell>
          <cell r="D243" t="str">
            <v>아이오페 슈퍼바이탈 크림 50ML(24EC 내용기</v>
          </cell>
          <cell r="E243">
            <v>5</v>
          </cell>
          <cell r="H243">
            <v>105</v>
          </cell>
          <cell r="K243">
            <v>3</v>
          </cell>
        </row>
        <row r="244">
          <cell r="A244" t="str">
            <v>SI1519_20250102</v>
          </cell>
          <cell r="B244" t="str">
            <v>장세래</v>
          </cell>
          <cell r="C244">
            <v>45660</v>
          </cell>
          <cell r="D244" t="str">
            <v>아이오페 슈퍼바이탈 크림 50ML(24EC 내용기</v>
          </cell>
          <cell r="E244">
            <v>5</v>
          </cell>
          <cell r="F244">
            <v>2</v>
          </cell>
          <cell r="H244">
            <v>70</v>
          </cell>
          <cell r="I244">
            <v>10</v>
          </cell>
          <cell r="K244">
            <v>6</v>
          </cell>
          <cell r="L244">
            <v>0.5</v>
          </cell>
          <cell r="N244">
            <v>13</v>
          </cell>
        </row>
        <row r="245">
          <cell r="A245" t="str">
            <v>SI1520_20241028</v>
          </cell>
          <cell r="B245" t="str">
            <v>장세래</v>
          </cell>
          <cell r="C245">
            <v>45594</v>
          </cell>
          <cell r="D245" t="str">
            <v>아이오페 슈퍼바이탈 크림 50ML(24EC 용기받침</v>
          </cell>
          <cell r="E245">
            <v>10</v>
          </cell>
          <cell r="H245">
            <v>100</v>
          </cell>
          <cell r="K245">
            <v>2</v>
          </cell>
          <cell r="N245">
            <v>15.4</v>
          </cell>
        </row>
        <row r="246">
          <cell r="A246" t="str">
            <v>SI1587_20241218</v>
          </cell>
          <cell r="B246" t="str">
            <v>민병태</v>
          </cell>
          <cell r="C246">
            <v>45645</v>
          </cell>
          <cell r="D246" t="str">
            <v>아이오페 슈퍼바이탈 크림 50ML(24EC 용기받침</v>
          </cell>
          <cell r="E246">
            <v>15</v>
          </cell>
          <cell r="H246">
            <v>148</v>
          </cell>
          <cell r="K246">
            <v>3</v>
          </cell>
          <cell r="N246">
            <v>16.649999999999999</v>
          </cell>
        </row>
        <row r="247">
          <cell r="A247" t="str">
            <v>SI1587_20241219</v>
          </cell>
          <cell r="B247" t="str">
            <v>민병태</v>
          </cell>
          <cell r="C247">
            <v>45645</v>
          </cell>
          <cell r="D247" t="str">
            <v>아이오페 슈퍼바이탈 크림 50ML(24EC 용기받침</v>
          </cell>
          <cell r="E247">
            <v>15</v>
          </cell>
          <cell r="H247">
            <v>138</v>
          </cell>
          <cell r="K247">
            <v>2.5</v>
          </cell>
          <cell r="N247">
            <v>17.13</v>
          </cell>
        </row>
        <row r="248">
          <cell r="A248" t="str">
            <v>SI1522_20241028</v>
          </cell>
          <cell r="B248" t="str">
            <v>유재호</v>
          </cell>
          <cell r="C248">
            <v>45594</v>
          </cell>
          <cell r="D248" t="str">
            <v>아이오페 슈퍼바이탈 크림 50ML(24EC 내캡</v>
          </cell>
          <cell r="E248">
            <v>10</v>
          </cell>
          <cell r="G248">
            <v>2</v>
          </cell>
          <cell r="H248">
            <v>65</v>
          </cell>
          <cell r="J248">
            <v>10</v>
          </cell>
          <cell r="K248">
            <v>2</v>
          </cell>
          <cell r="M248">
            <v>0.5</v>
          </cell>
          <cell r="N248">
            <v>6.4</v>
          </cell>
        </row>
        <row r="249">
          <cell r="A249" t="str">
            <v>SI1537_20241017</v>
          </cell>
          <cell r="B249" t="str">
            <v>유재호</v>
          </cell>
          <cell r="C249">
            <v>45588</v>
          </cell>
          <cell r="D249" t="str">
            <v>설화수 진설클렌징폼 150ml (25AD 캡장식</v>
          </cell>
          <cell r="E249">
            <v>15</v>
          </cell>
          <cell r="H249">
            <v>85</v>
          </cell>
          <cell r="I249">
            <v>10</v>
          </cell>
          <cell r="K249">
            <v>3</v>
          </cell>
          <cell r="L249">
            <v>0.5</v>
          </cell>
          <cell r="N249">
            <v>27</v>
          </cell>
        </row>
        <row r="250">
          <cell r="A250" t="str">
            <v>SI1537_20241120</v>
          </cell>
          <cell r="B250" t="str">
            <v>유재호</v>
          </cell>
          <cell r="C250">
            <v>45630</v>
          </cell>
          <cell r="D250" t="str">
            <v>설화수 진설클렌징폼 150ml (25AD 캡장식</v>
          </cell>
          <cell r="E250">
            <v>10</v>
          </cell>
          <cell r="H250">
            <v>90</v>
          </cell>
          <cell r="K250">
            <v>4</v>
          </cell>
          <cell r="N250">
            <v>33.299999999999997</v>
          </cell>
        </row>
        <row r="251">
          <cell r="A251" t="str">
            <v>SI1537_20241211</v>
          </cell>
          <cell r="B251" t="str">
            <v>장세래</v>
          </cell>
          <cell r="C251">
            <v>45642</v>
          </cell>
          <cell r="D251" t="str">
            <v>설화수 진설클렌징폼 150ml (25AD 캡장식</v>
          </cell>
          <cell r="E251">
            <v>10</v>
          </cell>
          <cell r="H251">
            <v>90</v>
          </cell>
          <cell r="K251">
            <v>4</v>
          </cell>
          <cell r="N251">
            <v>33.42</v>
          </cell>
        </row>
        <row r="252">
          <cell r="A252" t="str">
            <v>SI1538_20241008</v>
          </cell>
          <cell r="B252" t="str">
            <v>장세래</v>
          </cell>
          <cell r="C252">
            <v>45579</v>
          </cell>
          <cell r="D252" t="str">
            <v>설화수 진설클렌징폼 150ml (25AD 외캡</v>
          </cell>
          <cell r="E252">
            <v>10</v>
          </cell>
          <cell r="F252">
            <v>2</v>
          </cell>
          <cell r="H252">
            <v>100</v>
          </cell>
          <cell r="I252">
            <v>10</v>
          </cell>
          <cell r="K252">
            <v>2</v>
          </cell>
          <cell r="L252">
            <v>0.5</v>
          </cell>
        </row>
        <row r="253">
          <cell r="A253" t="str">
            <v>SI1538_20241017</v>
          </cell>
          <cell r="B253" t="str">
            <v>유재호</v>
          </cell>
          <cell r="C253">
            <v>45588</v>
          </cell>
          <cell r="D253" t="str">
            <v>설화수 진설클렌징폼 150ml (25AD 외캡</v>
          </cell>
          <cell r="E253">
            <v>15</v>
          </cell>
          <cell r="H253">
            <v>90</v>
          </cell>
          <cell r="I253">
            <v>10</v>
          </cell>
          <cell r="K253">
            <v>3</v>
          </cell>
          <cell r="L253">
            <v>0.5</v>
          </cell>
          <cell r="N253">
            <v>41.75</v>
          </cell>
        </row>
        <row r="254">
          <cell r="A254" t="str">
            <v>SI1538_20241120</v>
          </cell>
          <cell r="B254" t="str">
            <v>유재호</v>
          </cell>
          <cell r="C254">
            <v>45630</v>
          </cell>
          <cell r="D254" t="str">
            <v>설화수 진설클렌징폼 150ml (25AD 외캡</v>
          </cell>
          <cell r="E254">
            <v>12</v>
          </cell>
          <cell r="H254">
            <v>130</v>
          </cell>
          <cell r="K254">
            <v>5</v>
          </cell>
        </row>
        <row r="255">
          <cell r="A255" t="str">
            <v>SI1539_20241017</v>
          </cell>
          <cell r="B255" t="str">
            <v>유재호</v>
          </cell>
          <cell r="C255">
            <v>45587</v>
          </cell>
          <cell r="D255" t="str">
            <v>설화수 진설클렌징폼 150ml (25AD 내캡</v>
          </cell>
        </row>
        <row r="256">
          <cell r="A256" t="str">
            <v>SI1539_20241120</v>
          </cell>
          <cell r="B256" t="str">
            <v>유재호</v>
          </cell>
          <cell r="C256">
            <v>45630</v>
          </cell>
          <cell r="D256" t="str">
            <v>설화수 진설클렌징폼 150ml (25AD 내캡</v>
          </cell>
          <cell r="E256">
            <v>10</v>
          </cell>
          <cell r="H256">
            <v>90</v>
          </cell>
          <cell r="K256">
            <v>1.5</v>
          </cell>
        </row>
        <row r="257">
          <cell r="A257" t="str">
            <v>SI1540_20241029</v>
          </cell>
          <cell r="B257" t="str">
            <v>장세래</v>
          </cell>
          <cell r="C257">
            <v>45596</v>
          </cell>
          <cell r="D257" t="str">
            <v>아이오페 스템Ⅲ 클리니컬 리커버리 크림 50ML(25) 캡장식 사출</v>
          </cell>
          <cell r="E257">
            <v>10</v>
          </cell>
          <cell r="H257">
            <v>140</v>
          </cell>
          <cell r="K257">
            <v>4</v>
          </cell>
          <cell r="N257">
            <v>7.35</v>
          </cell>
        </row>
        <row r="258">
          <cell r="A258" t="str">
            <v>SI1540_20241112</v>
          </cell>
          <cell r="B258" t="str">
            <v>유재호</v>
          </cell>
          <cell r="C258">
            <v>45609</v>
          </cell>
          <cell r="D258" t="str">
            <v>아이오페 스템Ⅲ 클리니컬 리커버리 크림 50ML(25) 캡장식 사출</v>
          </cell>
          <cell r="E258">
            <v>10</v>
          </cell>
          <cell r="H258">
            <v>135</v>
          </cell>
          <cell r="K258">
            <v>4</v>
          </cell>
          <cell r="N258">
            <v>6.58</v>
          </cell>
        </row>
        <row r="259">
          <cell r="A259" t="str">
            <v>SI1540_20241205</v>
          </cell>
          <cell r="B259" t="str">
            <v>장세래</v>
          </cell>
          <cell r="C259">
            <v>45635</v>
          </cell>
          <cell r="D259" t="str">
            <v>아이오페 스템Ⅲ 클리니컬 리커버리 크림 50ML(25) 캡장식 사출</v>
          </cell>
          <cell r="E259">
            <v>10</v>
          </cell>
          <cell r="H259">
            <v>135</v>
          </cell>
          <cell r="K259">
            <v>4</v>
          </cell>
          <cell r="N259">
            <v>7.5</v>
          </cell>
        </row>
        <row r="260">
          <cell r="A260" t="str">
            <v>SI1540_20241211</v>
          </cell>
          <cell r="B260" t="str">
            <v>장세래</v>
          </cell>
          <cell r="C260">
            <v>45637</v>
          </cell>
          <cell r="D260" t="str">
            <v>아이오페 스템Ⅲ 클리니컬 리커버리 크림 50ML(25) 캡장식 사출</v>
          </cell>
          <cell r="E260">
            <v>5</v>
          </cell>
          <cell r="H260">
            <v>90</v>
          </cell>
          <cell r="K260">
            <v>1</v>
          </cell>
          <cell r="N260">
            <v>10</v>
          </cell>
        </row>
        <row r="261">
          <cell r="A261" t="str">
            <v>SI1540_20241216</v>
          </cell>
          <cell r="B261" t="str">
            <v>장세래</v>
          </cell>
          <cell r="C261">
            <v>45642</v>
          </cell>
          <cell r="D261" t="str">
            <v>아이오페 스템Ⅲ 클리니컬 리커버리 크림 50ML(25) 캡장식 사출</v>
          </cell>
          <cell r="E261">
            <v>10</v>
          </cell>
          <cell r="H261">
            <v>120</v>
          </cell>
          <cell r="K261">
            <v>4</v>
          </cell>
          <cell r="N261">
            <v>8.6999999999999993</v>
          </cell>
        </row>
        <row r="262">
          <cell r="A262" t="str">
            <v>SI1540_20250106</v>
          </cell>
          <cell r="B262" t="str">
            <v>장세래</v>
          </cell>
          <cell r="C262">
            <v>45664</v>
          </cell>
          <cell r="D262" t="str">
            <v>아이오페 스템Ⅲ 클리니컬 리커버리 크림 50ML(25) 캡장식 사출</v>
          </cell>
          <cell r="E262">
            <v>10</v>
          </cell>
          <cell r="H262">
            <v>120</v>
          </cell>
          <cell r="K262">
            <v>4</v>
          </cell>
          <cell r="N262">
            <v>5.2</v>
          </cell>
        </row>
        <row r="263">
          <cell r="A263" t="str">
            <v>SI1541_20241014</v>
          </cell>
          <cell r="B263" t="str">
            <v>한창구</v>
          </cell>
          <cell r="C263">
            <v>45581</v>
          </cell>
          <cell r="D263" t="str">
            <v>아이오페 스템Ⅲ 클리니컬 리커버리 크림 50ML(25) 외캡 사출</v>
          </cell>
          <cell r="E263">
            <v>10</v>
          </cell>
          <cell r="H263">
            <v>130</v>
          </cell>
          <cell r="K263">
            <v>8</v>
          </cell>
        </row>
        <row r="264">
          <cell r="A264" t="str">
            <v>SI1541_20241029</v>
          </cell>
          <cell r="B264" t="str">
            <v>장세래</v>
          </cell>
          <cell r="C264">
            <v>45597</v>
          </cell>
          <cell r="D264" t="str">
            <v>아이오페 스템Ⅲ 클리니컬 리커버리 크림 50ML(25) 외캡 사출</v>
          </cell>
          <cell r="E264">
            <v>10</v>
          </cell>
          <cell r="H264">
            <v>120</v>
          </cell>
          <cell r="K264">
            <v>4</v>
          </cell>
        </row>
        <row r="265">
          <cell r="A265" t="str">
            <v>SI1541_20241205</v>
          </cell>
          <cell r="B265" t="str">
            <v>장세래</v>
          </cell>
          <cell r="C265">
            <v>45635</v>
          </cell>
          <cell r="D265" t="str">
            <v>아이오페 스템Ⅲ 클리니컬 리커버리 크림 50ML(25) 외캡 사출</v>
          </cell>
          <cell r="E265">
            <v>10</v>
          </cell>
          <cell r="H265">
            <v>150</v>
          </cell>
          <cell r="K265">
            <v>3</v>
          </cell>
          <cell r="N265">
            <v>29.5</v>
          </cell>
        </row>
        <row r="266">
          <cell r="A266" t="str">
            <v>SI1541_20241222</v>
          </cell>
          <cell r="B266" t="str">
            <v>한창구</v>
          </cell>
          <cell r="C266">
            <v>45650</v>
          </cell>
          <cell r="D266" t="str">
            <v>아이오페 스템Ⅲ 클리니컬 리커버리 크림 50ML(25) 외캡 사출</v>
          </cell>
          <cell r="E266">
            <v>15</v>
          </cell>
          <cell r="H266">
            <v>120</v>
          </cell>
          <cell r="K266">
            <v>3</v>
          </cell>
          <cell r="N266">
            <v>20</v>
          </cell>
        </row>
        <row r="267">
          <cell r="A267" t="str">
            <v>SI1541_20250106</v>
          </cell>
          <cell r="B267" t="str">
            <v>장세래</v>
          </cell>
          <cell r="C267">
            <v>45664</v>
          </cell>
          <cell r="D267" t="str">
            <v>아이오페 스템Ⅲ 클리니컬 리커버리 크림 50ML(25) 외캡 사출</v>
          </cell>
          <cell r="E267">
            <v>10</v>
          </cell>
          <cell r="H267">
            <v>120</v>
          </cell>
          <cell r="K267">
            <v>3</v>
          </cell>
          <cell r="N267">
            <v>11.5</v>
          </cell>
        </row>
        <row r="268">
          <cell r="A268" t="str">
            <v>SI1542_20241014</v>
          </cell>
          <cell r="B268" t="str">
            <v>장세래</v>
          </cell>
          <cell r="C268">
            <v>45584</v>
          </cell>
          <cell r="D268" t="str">
            <v>아이오페 스템Ⅲ 클리니컬 리커버리 크림 50ML(25) 내캡 사출</v>
          </cell>
          <cell r="E268">
            <v>10</v>
          </cell>
          <cell r="H268">
            <v>55</v>
          </cell>
          <cell r="K268">
            <v>1</v>
          </cell>
        </row>
        <row r="269">
          <cell r="A269" t="str">
            <v>SI1542_20241029</v>
          </cell>
          <cell r="B269" t="str">
            <v>장세래</v>
          </cell>
          <cell r="C269">
            <v>45596</v>
          </cell>
          <cell r="D269" t="str">
            <v>아이오페 스템Ⅲ 클리니컬 리커버리 크림 50ML(25) 내캡 사출</v>
          </cell>
          <cell r="E269">
            <v>10</v>
          </cell>
          <cell r="H269">
            <v>60</v>
          </cell>
          <cell r="K269">
            <v>1.2</v>
          </cell>
          <cell r="N269">
            <v>26.12</v>
          </cell>
        </row>
        <row r="270">
          <cell r="A270" t="str">
            <v>SI1542_20241112</v>
          </cell>
          <cell r="B270" t="str">
            <v>유재호</v>
          </cell>
          <cell r="C270">
            <v>45609</v>
          </cell>
          <cell r="D270" t="str">
            <v>아이오페 스템Ⅲ 클리니컬 리커버리 크림 50ML(25) 내캡 사출</v>
          </cell>
          <cell r="E270">
            <v>12</v>
          </cell>
          <cell r="H270">
            <v>70</v>
          </cell>
          <cell r="K270">
            <v>3</v>
          </cell>
        </row>
        <row r="271">
          <cell r="A271" t="str">
            <v>SI1542_20241225</v>
          </cell>
          <cell r="B271" t="str">
            <v>한창구</v>
          </cell>
          <cell r="C271">
            <v>45651</v>
          </cell>
          <cell r="D271" t="str">
            <v>아이오페 스템Ⅲ 클리니컬 리커버리 크림 50ML(25) 내캡 사출</v>
          </cell>
          <cell r="E271">
            <v>10</v>
          </cell>
          <cell r="H271">
            <v>80</v>
          </cell>
          <cell r="K271">
            <v>4</v>
          </cell>
        </row>
        <row r="272">
          <cell r="A272" t="str">
            <v>SI1543_20241014</v>
          </cell>
          <cell r="B272" t="str">
            <v>한창구</v>
          </cell>
          <cell r="C272">
            <v>45581</v>
          </cell>
          <cell r="D272" t="str">
            <v>아이오페 스템Ⅲ 클리니컬 리커버리 크림 50ML(25) 내용기</v>
          </cell>
          <cell r="E272">
            <v>10</v>
          </cell>
          <cell r="H272">
            <v>75</v>
          </cell>
          <cell r="K272">
            <v>2</v>
          </cell>
          <cell r="N272">
            <v>25</v>
          </cell>
        </row>
        <row r="273">
          <cell r="A273" t="str">
            <v>SI1543_20250115</v>
          </cell>
          <cell r="B273" t="str">
            <v>한창구</v>
          </cell>
          <cell r="C273">
            <v>45673</v>
          </cell>
          <cell r="D273" t="str">
            <v>아이오페 스템Ⅲ 클리니컬 리커버리 크림 50ML(25) 내용기</v>
          </cell>
          <cell r="E273">
            <v>10</v>
          </cell>
          <cell r="H273">
            <v>85</v>
          </cell>
          <cell r="K273">
            <v>2</v>
          </cell>
          <cell r="N273">
            <v>35</v>
          </cell>
        </row>
        <row r="274">
          <cell r="A274" t="str">
            <v>SI1544_20241017</v>
          </cell>
          <cell r="B274" t="str">
            <v>유재호</v>
          </cell>
          <cell r="C274">
            <v>45594</v>
          </cell>
          <cell r="D274" t="str">
            <v>설화수 진설클렌징폼 견본 15ml (25AD 외캡</v>
          </cell>
          <cell r="E274">
            <v>8</v>
          </cell>
          <cell r="H274">
            <v>40</v>
          </cell>
          <cell r="K274">
            <v>1</v>
          </cell>
          <cell r="N274">
            <v>21.8</v>
          </cell>
        </row>
        <row r="275">
          <cell r="A275" t="str">
            <v>SI1545_20241017</v>
          </cell>
          <cell r="B275" t="str">
            <v>유재호</v>
          </cell>
          <cell r="C275">
            <v>45594</v>
          </cell>
          <cell r="D275" t="str">
            <v>설화수 진설클렌징폼 견본 15ml (25AD 내캡</v>
          </cell>
          <cell r="N275">
            <v>24.1</v>
          </cell>
        </row>
        <row r="276">
          <cell r="A276" t="str">
            <v>SI1553_20241101</v>
          </cell>
          <cell r="B276" t="str">
            <v>한창구</v>
          </cell>
          <cell r="C276">
            <v>45602</v>
          </cell>
          <cell r="D276" t="str">
            <v>설화수 진설클렌징폼 견본 40ml (25AD 내캡</v>
          </cell>
          <cell r="E276">
            <v>10</v>
          </cell>
          <cell r="H276">
            <v>55</v>
          </cell>
          <cell r="K276">
            <v>2</v>
          </cell>
          <cell r="N276">
            <v>37.299999999999997</v>
          </cell>
        </row>
        <row r="277">
          <cell r="A277" t="str">
            <v>SI1554_20241017</v>
          </cell>
          <cell r="B277" t="str">
            <v>유재호</v>
          </cell>
          <cell r="C277">
            <v>45588</v>
          </cell>
          <cell r="D277" t="str">
            <v>설화수 진설클렌징폼 견본 40ml (25AD 외캡</v>
          </cell>
          <cell r="E277">
            <v>15</v>
          </cell>
          <cell r="H277">
            <v>60</v>
          </cell>
          <cell r="K277">
            <v>3</v>
          </cell>
          <cell r="N277">
            <v>29</v>
          </cell>
        </row>
        <row r="278">
          <cell r="A278" t="str">
            <v>SI1554_20241017-1</v>
          </cell>
          <cell r="B278" t="str">
            <v>유재호</v>
          </cell>
          <cell r="C278">
            <v>45588</v>
          </cell>
          <cell r="D278" t="str">
            <v>설화수 진설클렌징폼 견본 40ml (25AD 외캡</v>
          </cell>
          <cell r="E278">
            <v>15</v>
          </cell>
          <cell r="H278">
            <v>60</v>
          </cell>
          <cell r="K278">
            <v>3</v>
          </cell>
          <cell r="N278">
            <v>29</v>
          </cell>
        </row>
        <row r="279">
          <cell r="A279" t="str">
            <v>SI1554_20241017-2</v>
          </cell>
          <cell r="B279" t="str">
            <v>유재호</v>
          </cell>
          <cell r="C279">
            <v>45588</v>
          </cell>
          <cell r="D279" t="str">
            <v>설화수 진설클렌징폼 견본 40ml (25AD 외캡</v>
          </cell>
          <cell r="E279">
            <v>15</v>
          </cell>
          <cell r="H279">
            <v>60</v>
          </cell>
          <cell r="K279">
            <v>3</v>
          </cell>
          <cell r="N279">
            <v>29</v>
          </cell>
        </row>
        <row r="280">
          <cell r="A280" t="str">
            <v>SI1554_20241031</v>
          </cell>
          <cell r="B280" t="str">
            <v>한창구</v>
          </cell>
          <cell r="C280">
            <v>45602</v>
          </cell>
          <cell r="D280" t="str">
            <v>설화수 진설클렌징폼 견본 40ml (25AD 외캡</v>
          </cell>
          <cell r="E280">
            <v>10</v>
          </cell>
          <cell r="H280">
            <v>70</v>
          </cell>
          <cell r="K280">
            <v>3</v>
          </cell>
        </row>
        <row r="281">
          <cell r="A281" t="str">
            <v>SI1554_20241120</v>
          </cell>
          <cell r="B281" t="str">
            <v>한창구</v>
          </cell>
          <cell r="C281">
            <v>45622</v>
          </cell>
          <cell r="D281" t="str">
            <v>설화수 진설클렌징폼 견본 40ml (25AD 외캡</v>
          </cell>
          <cell r="E281">
            <v>10</v>
          </cell>
          <cell r="H281">
            <v>80</v>
          </cell>
          <cell r="K281">
            <v>10</v>
          </cell>
        </row>
        <row r="282">
          <cell r="A282" t="str">
            <v>SI1554_20241127</v>
          </cell>
          <cell r="B282" t="str">
            <v>장세래</v>
          </cell>
          <cell r="C282">
            <v>45624</v>
          </cell>
          <cell r="D282" t="str">
            <v>설화수 진설클렌징폼 견본 40ml (25AD 외캡</v>
          </cell>
          <cell r="E282">
            <v>10</v>
          </cell>
          <cell r="H282">
            <v>80</v>
          </cell>
          <cell r="K282">
            <v>8</v>
          </cell>
        </row>
        <row r="283">
          <cell r="A283" t="str">
            <v>SI1557_20241026</v>
          </cell>
          <cell r="B283" t="str">
            <v>유재호</v>
          </cell>
          <cell r="C283">
            <v>45597</v>
          </cell>
          <cell r="D283" t="str">
            <v>라보에이치 모발강화 트리트먼트 200ml 50파이 원터치캡</v>
          </cell>
          <cell r="E283">
            <v>5</v>
          </cell>
          <cell r="H283">
            <v>75</v>
          </cell>
          <cell r="K283">
            <v>3</v>
          </cell>
          <cell r="N283">
            <v>32.6</v>
          </cell>
        </row>
        <row r="284">
          <cell r="A284" t="str">
            <v>SI1557_20241115</v>
          </cell>
          <cell r="B284" t="str">
            <v>유재호</v>
          </cell>
          <cell r="C284">
            <v>45618</v>
          </cell>
          <cell r="D284" t="str">
            <v>라보에이치 모발강화 트리트먼트 200ml 50파이 원터치캡</v>
          </cell>
          <cell r="E284">
            <v>12</v>
          </cell>
          <cell r="H284">
            <v>85</v>
          </cell>
          <cell r="K284">
            <v>3</v>
          </cell>
          <cell r="N284">
            <v>17</v>
          </cell>
        </row>
        <row r="285">
          <cell r="A285" t="str">
            <v>SI1557_20241218</v>
          </cell>
          <cell r="B285" t="str">
            <v>유재호</v>
          </cell>
          <cell r="C285">
            <v>45649</v>
          </cell>
          <cell r="D285" t="str">
            <v>라보에이치 모발강화 트리트먼트 200ml 50파이 원터치캡</v>
          </cell>
          <cell r="E285">
            <v>10</v>
          </cell>
          <cell r="H285">
            <v>135</v>
          </cell>
          <cell r="K285">
            <v>5</v>
          </cell>
          <cell r="N285">
            <v>23.2</v>
          </cell>
        </row>
        <row r="286">
          <cell r="A286" t="str">
            <v>SI1557_20250116</v>
          </cell>
          <cell r="B286" t="str">
            <v>유재호</v>
          </cell>
          <cell r="C286">
            <v>45677</v>
          </cell>
          <cell r="D286" t="str">
            <v>라보에이치 모발강화 트리트먼트 200ml 50파이 원터치캡</v>
          </cell>
          <cell r="N286">
            <v>15.2</v>
          </cell>
        </row>
        <row r="287">
          <cell r="A287" t="str">
            <v>SI1558_20241026</v>
          </cell>
          <cell r="B287" t="str">
            <v>한창구</v>
          </cell>
          <cell r="C287">
            <v>45601</v>
          </cell>
          <cell r="D287" t="str">
            <v>라보에이치 모발강화 트리트먼트 200ml 50파이 장식</v>
          </cell>
          <cell r="E287">
            <v>10</v>
          </cell>
          <cell r="H287">
            <v>65</v>
          </cell>
          <cell r="K287">
            <v>2</v>
          </cell>
          <cell r="N287">
            <v>13.8</v>
          </cell>
        </row>
        <row r="288">
          <cell r="A288" t="str">
            <v>SI1558_20241115</v>
          </cell>
          <cell r="B288" t="str">
            <v>장세래</v>
          </cell>
          <cell r="C288">
            <v>45624</v>
          </cell>
          <cell r="D288" t="str">
            <v>라보에이치 모발강화 트리트먼트 200ml 50파이 장식</v>
          </cell>
          <cell r="E288">
            <v>10</v>
          </cell>
          <cell r="H288">
            <v>50</v>
          </cell>
          <cell r="K288">
            <v>2</v>
          </cell>
          <cell r="N288">
            <v>37.450000000000003</v>
          </cell>
        </row>
        <row r="289">
          <cell r="A289" t="str">
            <v>SI1558_20241218</v>
          </cell>
          <cell r="B289" t="str">
            <v>유재호</v>
          </cell>
          <cell r="C289">
            <v>45651</v>
          </cell>
          <cell r="D289" t="str">
            <v>라보에이치 모발강화 트리트먼트 200ml 50파이 장식</v>
          </cell>
          <cell r="E289">
            <v>10</v>
          </cell>
          <cell r="H289">
            <v>55</v>
          </cell>
          <cell r="K289">
            <v>2</v>
          </cell>
          <cell r="N289">
            <v>21</v>
          </cell>
        </row>
        <row r="290">
          <cell r="A290" t="str">
            <v>SI1558_20250120</v>
          </cell>
          <cell r="B290" t="str">
            <v>유재호</v>
          </cell>
          <cell r="C290">
            <v>45677</v>
          </cell>
          <cell r="D290" t="str">
            <v>라보에이치 모발강화 트리트먼트 200ml 50파이 장식</v>
          </cell>
          <cell r="E290">
            <v>25</v>
          </cell>
          <cell r="H290">
            <v>85</v>
          </cell>
          <cell r="K290">
            <v>2.5</v>
          </cell>
        </row>
        <row r="291">
          <cell r="A291" t="str">
            <v>SI1559_20241026</v>
          </cell>
          <cell r="B291" t="str">
            <v>유재호</v>
          </cell>
          <cell r="C291">
            <v>45597</v>
          </cell>
          <cell r="D291" t="str">
            <v>라보에이치 모발강화 트리트먼트 300ml 60파이 원터치캡</v>
          </cell>
          <cell r="E291">
            <v>6</v>
          </cell>
          <cell r="H291">
            <v>80</v>
          </cell>
          <cell r="K291">
            <v>4</v>
          </cell>
          <cell r="N291">
            <v>31.6</v>
          </cell>
        </row>
        <row r="292">
          <cell r="A292" t="str">
            <v>SI1559_20241115</v>
          </cell>
          <cell r="B292" t="str">
            <v>유재호</v>
          </cell>
          <cell r="C292">
            <v>45618</v>
          </cell>
          <cell r="D292" t="str">
            <v>라보에이치 모발강화 트리트먼트 300ml 60파이 원터치캡</v>
          </cell>
          <cell r="E292">
            <v>12</v>
          </cell>
          <cell r="H292">
            <v>65</v>
          </cell>
          <cell r="K292">
            <v>3</v>
          </cell>
          <cell r="N292">
            <v>16.899999999999999</v>
          </cell>
        </row>
        <row r="293">
          <cell r="A293" t="str">
            <v>SI1560_20241026</v>
          </cell>
          <cell r="B293" t="str">
            <v>한창구</v>
          </cell>
          <cell r="C293">
            <v>45601</v>
          </cell>
          <cell r="D293" t="str">
            <v>라보에이치 모발강화 트리트먼트 300ml 60파이 장식</v>
          </cell>
          <cell r="E293">
            <v>10</v>
          </cell>
          <cell r="H293">
            <v>65</v>
          </cell>
          <cell r="K293">
            <v>2</v>
          </cell>
          <cell r="N293">
            <v>20</v>
          </cell>
        </row>
        <row r="294">
          <cell r="A294" t="str">
            <v>SI1560_20241218</v>
          </cell>
          <cell r="B294" t="str">
            <v>유재호</v>
          </cell>
          <cell r="C294">
            <v>45651</v>
          </cell>
          <cell r="D294" t="str">
            <v>라보에이치 모발강화 트리트먼트 300ml 60파이 장식</v>
          </cell>
          <cell r="E294">
            <v>10</v>
          </cell>
          <cell r="H294">
            <v>55</v>
          </cell>
          <cell r="K294">
            <v>2</v>
          </cell>
          <cell r="N294">
            <v>20</v>
          </cell>
        </row>
        <row r="295">
          <cell r="A295" t="str">
            <v>SI1560_20250106</v>
          </cell>
          <cell r="B295" t="str">
            <v>한창구</v>
          </cell>
          <cell r="C295">
            <v>45663</v>
          </cell>
          <cell r="D295" t="str">
            <v>라보에이치 모발강화 트리트먼트 300ml 60파이 장식</v>
          </cell>
          <cell r="E295">
            <v>10</v>
          </cell>
          <cell r="H295">
            <v>70</v>
          </cell>
          <cell r="K295">
            <v>2.5</v>
          </cell>
          <cell r="N295">
            <v>25</v>
          </cell>
        </row>
        <row r="296">
          <cell r="A296" t="str">
            <v>SI1560_20250120</v>
          </cell>
          <cell r="B296" t="str">
            <v>유재호</v>
          </cell>
          <cell r="C296">
            <v>45677</v>
          </cell>
          <cell r="D296" t="str">
            <v>라보에이치 모발강화 트리트먼트 300ml 60파이 장식</v>
          </cell>
          <cell r="E296">
            <v>25</v>
          </cell>
          <cell r="H296">
            <v>75</v>
          </cell>
          <cell r="K296">
            <v>2.5</v>
          </cell>
          <cell r="N296">
            <v>16</v>
          </cell>
        </row>
        <row r="297">
          <cell r="A297" t="str">
            <v>SI1560_20250120</v>
          </cell>
          <cell r="B297" t="str">
            <v>유재호</v>
          </cell>
          <cell r="C297">
            <v>45677</v>
          </cell>
          <cell r="D297" t="str">
            <v>라보에이치 모발강화 트리트먼트 300ml 60파이 장식</v>
          </cell>
          <cell r="E297">
            <v>25</v>
          </cell>
          <cell r="H297">
            <v>75</v>
          </cell>
          <cell r="K297">
            <v>2.5</v>
          </cell>
          <cell r="N297">
            <v>16</v>
          </cell>
        </row>
        <row r="298">
          <cell r="A298" t="str">
            <v>SI1560_20250120</v>
          </cell>
          <cell r="B298" t="str">
            <v>유재호</v>
          </cell>
          <cell r="C298">
            <v>45677</v>
          </cell>
          <cell r="D298" t="str">
            <v>라보에이치 모발강화 트리트먼트 300ml 60파이 장식</v>
          </cell>
          <cell r="E298">
            <v>25</v>
          </cell>
          <cell r="H298">
            <v>75</v>
          </cell>
          <cell r="K298">
            <v>2.5</v>
          </cell>
          <cell r="N298">
            <v>16</v>
          </cell>
        </row>
        <row r="299">
          <cell r="A299" t="str">
            <v>SI1569_20250110</v>
          </cell>
          <cell r="B299" t="str">
            <v>장세래</v>
          </cell>
          <cell r="C299">
            <v>45666</v>
          </cell>
          <cell r="D299" t="str">
            <v>(수출)라네즈 유스콜라겐드링크 25ml*30EA 패키지변경 25AD 캡</v>
          </cell>
          <cell r="E299">
            <v>10</v>
          </cell>
          <cell r="H299">
            <v>50</v>
          </cell>
          <cell r="K299">
            <v>1.5</v>
          </cell>
          <cell r="N299">
            <v>24.9</v>
          </cell>
        </row>
        <row r="300">
          <cell r="A300" t="str">
            <v>SI1582_20250116</v>
          </cell>
          <cell r="B300" t="str">
            <v>한창구</v>
          </cell>
          <cell r="C300">
            <v>45674</v>
          </cell>
          <cell r="D300" t="str">
            <v>미장센 헬로 젤리 팡팡 상용기(글로우쿠션 금형)</v>
          </cell>
          <cell r="E300">
            <v>15</v>
          </cell>
          <cell r="H300">
            <v>110</v>
          </cell>
          <cell r="K300">
            <v>4</v>
          </cell>
          <cell r="N300">
            <v>45</v>
          </cell>
        </row>
        <row r="301">
          <cell r="A301" t="str">
            <v>SI1583_20250116</v>
          </cell>
          <cell r="B301" t="str">
            <v>한창구</v>
          </cell>
          <cell r="C301">
            <v>45674</v>
          </cell>
          <cell r="D301" t="str">
            <v>미장센 헬로 젤리 팡팡 하용기</v>
          </cell>
          <cell r="E301">
            <v>15</v>
          </cell>
          <cell r="H301">
            <v>110</v>
          </cell>
          <cell r="K301">
            <v>4</v>
          </cell>
          <cell r="N301">
            <v>45</v>
          </cell>
        </row>
        <row r="302">
          <cell r="A302" t="str">
            <v>SI1590_20250116</v>
          </cell>
          <cell r="B302" t="str">
            <v>유재호</v>
          </cell>
          <cell r="C302">
            <v>45679</v>
          </cell>
          <cell r="D302" t="str">
            <v>라네즈 시카슬리핑마스크 60ML (21AD 내용기</v>
          </cell>
          <cell r="E302">
            <v>12</v>
          </cell>
          <cell r="H302">
            <v>95</v>
          </cell>
          <cell r="K302">
            <v>2</v>
          </cell>
          <cell r="N302">
            <v>13</v>
          </cell>
        </row>
        <row r="303">
          <cell r="A303" t="str">
            <v>SI1592_20250116</v>
          </cell>
          <cell r="B303" t="str">
            <v>유재호</v>
          </cell>
          <cell r="C303">
            <v>45679</v>
          </cell>
          <cell r="D303" t="str">
            <v>라네즈 워터슬리핑마스크 70ML (20AD 내용기</v>
          </cell>
          <cell r="E303">
            <v>15</v>
          </cell>
          <cell r="H303">
            <v>100</v>
          </cell>
          <cell r="K303">
            <v>2</v>
          </cell>
          <cell r="N303">
            <v>12</v>
          </cell>
        </row>
      </sheetData>
      <sheetData sheetId="7">
        <row r="1">
          <cell r="A1" t="str">
            <v>의뢰코드</v>
          </cell>
          <cell r="B1" t="str">
            <v>실험자</v>
          </cell>
          <cell r="C1" t="str">
            <v>실험일자</v>
          </cell>
          <cell r="D1" t="str">
            <v>제품명</v>
          </cell>
          <cell r="E1" t="str">
            <v>석백 전</v>
          </cell>
          <cell r="F1" t="str">
            <v>계량_RPM1</v>
          </cell>
          <cell r="G1" t="str">
            <v>계량_RPM2</v>
          </cell>
          <cell r="H1" t="str">
            <v>계량_RPM3</v>
          </cell>
          <cell r="I1" t="str">
            <v>계량_RPM4</v>
          </cell>
          <cell r="J1" t="str">
            <v>석백 후</v>
          </cell>
          <cell r="K1" t="str">
            <v>계량_거리1</v>
          </cell>
          <cell r="L1" t="str">
            <v>계량_거리2</v>
          </cell>
          <cell r="M1" t="str">
            <v>계량_거리3</v>
          </cell>
          <cell r="N1" t="str">
            <v>계량_거리4</v>
          </cell>
          <cell r="O1" t="str">
            <v>계량_배압1</v>
          </cell>
          <cell r="P1" t="str">
            <v>계량_배압2</v>
          </cell>
          <cell r="Q1" t="str">
            <v>계량_배압3</v>
          </cell>
          <cell r="R1" t="str">
            <v>계량_배압4</v>
          </cell>
        </row>
        <row r="2">
          <cell r="A2" t="str">
            <v>SI1621_20260707</v>
          </cell>
          <cell r="B2" t="str">
            <v>유재호</v>
          </cell>
          <cell r="C2">
            <v>46210</v>
          </cell>
          <cell r="D2" t="str">
            <v>설화수 진설명작크림 60ML (26AD 숄더장식 사출</v>
          </cell>
          <cell r="F2">
            <v>100</v>
          </cell>
          <cell r="G2">
            <v>100</v>
          </cell>
          <cell r="H2">
            <v>100</v>
          </cell>
          <cell r="I2">
            <v>100</v>
          </cell>
          <cell r="J2">
            <v>5</v>
          </cell>
          <cell r="K2">
            <v>10</v>
          </cell>
          <cell r="L2">
            <v>20</v>
          </cell>
          <cell r="M2">
            <v>40</v>
          </cell>
          <cell r="N2">
            <v>80</v>
          </cell>
          <cell r="O2">
            <v>8</v>
          </cell>
          <cell r="P2">
            <v>8</v>
          </cell>
          <cell r="Q2">
            <v>8</v>
          </cell>
          <cell r="R2">
            <v>8</v>
          </cell>
        </row>
        <row r="3">
          <cell r="A3" t="str">
            <v>SI1615_20260707</v>
          </cell>
          <cell r="B3" t="str">
            <v>유재호</v>
          </cell>
          <cell r="C3">
            <v>46210</v>
          </cell>
          <cell r="D3" t="str">
            <v>설화수 진설명작크림 60ML (26AD 캡장식-하단링</v>
          </cell>
          <cell r="F3">
            <v>100</v>
          </cell>
          <cell r="G3">
            <v>100</v>
          </cell>
          <cell r="H3">
            <v>100</v>
          </cell>
          <cell r="I3">
            <v>100</v>
          </cell>
          <cell r="J3">
            <v>5</v>
          </cell>
          <cell r="K3">
            <v>0</v>
          </cell>
          <cell r="L3">
            <v>10</v>
          </cell>
          <cell r="M3">
            <v>20</v>
          </cell>
          <cell r="N3">
            <v>30</v>
          </cell>
          <cell r="P3">
            <v>8</v>
          </cell>
          <cell r="Q3">
            <v>8</v>
          </cell>
          <cell r="R3">
            <v>8</v>
          </cell>
        </row>
        <row r="4">
          <cell r="A4" t="str">
            <v>SI1618_20260707</v>
          </cell>
          <cell r="B4" t="str">
            <v>한창구</v>
          </cell>
          <cell r="C4">
            <v>46210</v>
          </cell>
          <cell r="D4" t="str">
            <v>설화수 진설명작크림 60ML (26AD 내용기</v>
          </cell>
          <cell r="F4">
            <v>150</v>
          </cell>
          <cell r="G4">
            <v>150</v>
          </cell>
          <cell r="H4">
            <v>150</v>
          </cell>
          <cell r="I4">
            <v>150</v>
          </cell>
          <cell r="J4">
            <v>8</v>
          </cell>
          <cell r="L4">
            <v>20</v>
          </cell>
          <cell r="M4">
            <v>40</v>
          </cell>
          <cell r="N4">
            <v>50</v>
          </cell>
          <cell r="P4">
            <v>10</v>
          </cell>
          <cell r="Q4">
            <v>10</v>
          </cell>
          <cell r="R4">
            <v>10</v>
          </cell>
        </row>
        <row r="5">
          <cell r="A5" t="str">
            <v>SI1674_20260703</v>
          </cell>
          <cell r="B5" t="str">
            <v/>
          </cell>
          <cell r="C5" t="str">
            <v/>
          </cell>
          <cell r="D5" t="str">
            <v/>
          </cell>
          <cell r="F5">
            <v>50</v>
          </cell>
          <cell r="G5">
            <v>50</v>
          </cell>
          <cell r="H5">
            <v>50</v>
          </cell>
          <cell r="I5">
            <v>50</v>
          </cell>
          <cell r="K5">
            <v>10</v>
          </cell>
          <cell r="L5">
            <v>30</v>
          </cell>
          <cell r="M5">
            <v>40</v>
          </cell>
          <cell r="N5">
            <v>50</v>
          </cell>
          <cell r="O5">
            <v>50</v>
          </cell>
          <cell r="P5">
            <v>50</v>
          </cell>
          <cell r="Q5">
            <v>50</v>
          </cell>
          <cell r="R5">
            <v>50</v>
          </cell>
        </row>
        <row r="6">
          <cell r="A6" t="str">
            <v>SI1617_20260629</v>
          </cell>
          <cell r="B6" t="str">
            <v>유재호</v>
          </cell>
          <cell r="C6">
            <v>46202</v>
          </cell>
          <cell r="D6" t="str">
            <v>설화수 진설명작크림 60ML (26AD 중용기</v>
          </cell>
          <cell r="F6">
            <v>80</v>
          </cell>
          <cell r="G6">
            <v>80</v>
          </cell>
          <cell r="H6">
            <v>80</v>
          </cell>
          <cell r="I6">
            <v>80</v>
          </cell>
          <cell r="J6">
            <v>5</v>
          </cell>
          <cell r="K6">
            <v>10</v>
          </cell>
          <cell r="L6">
            <v>20</v>
          </cell>
          <cell r="M6">
            <v>40</v>
          </cell>
          <cell r="N6">
            <v>60</v>
          </cell>
          <cell r="P6">
            <v>10</v>
          </cell>
          <cell r="Q6">
            <v>10</v>
          </cell>
          <cell r="R6">
            <v>5</v>
          </cell>
        </row>
        <row r="7">
          <cell r="A7" t="str">
            <v>SI1618_20260629</v>
          </cell>
          <cell r="B7" t="str">
            <v>유재호</v>
          </cell>
          <cell r="C7">
            <v>46202</v>
          </cell>
          <cell r="D7" t="str">
            <v>설화수 진설명작크림 60ML (26AD 내용기</v>
          </cell>
          <cell r="F7">
            <v>80</v>
          </cell>
          <cell r="G7">
            <v>80</v>
          </cell>
          <cell r="H7">
            <v>80</v>
          </cell>
          <cell r="I7">
            <v>80</v>
          </cell>
          <cell r="J7">
            <v>6</v>
          </cell>
          <cell r="K7">
            <v>10</v>
          </cell>
          <cell r="L7">
            <v>40</v>
          </cell>
          <cell r="M7">
            <v>60</v>
          </cell>
          <cell r="N7">
            <v>80</v>
          </cell>
          <cell r="O7">
            <v>5</v>
          </cell>
          <cell r="P7">
            <v>5</v>
          </cell>
          <cell r="Q7">
            <v>5</v>
          </cell>
          <cell r="R7">
            <v>5</v>
          </cell>
        </row>
        <row r="8">
          <cell r="A8" t="str">
            <v>SI1619_20260625</v>
          </cell>
          <cell r="B8" t="str">
            <v>한창구</v>
          </cell>
          <cell r="C8">
            <v>46198</v>
          </cell>
          <cell r="D8" t="str">
            <v>설화수 진설명작크림 60ML (26AD 외용기</v>
          </cell>
          <cell r="G8">
            <v>20</v>
          </cell>
          <cell r="H8">
            <v>20</v>
          </cell>
          <cell r="I8">
            <v>20</v>
          </cell>
          <cell r="J8">
            <v>5</v>
          </cell>
          <cell r="L8">
            <v>20</v>
          </cell>
          <cell r="M8">
            <v>60</v>
          </cell>
          <cell r="N8">
            <v>80</v>
          </cell>
          <cell r="P8">
            <v>15</v>
          </cell>
          <cell r="Q8">
            <v>15</v>
          </cell>
          <cell r="R8">
            <v>12</v>
          </cell>
        </row>
        <row r="9">
          <cell r="A9" t="str">
            <v>SI1623_20260619</v>
          </cell>
          <cell r="B9" t="str">
            <v>장세래</v>
          </cell>
          <cell r="C9">
            <v>46192</v>
          </cell>
          <cell r="D9" t="str">
            <v>설화수 진설명작크림 리필 60ML (26AD 단캡</v>
          </cell>
          <cell r="F9">
            <v>30</v>
          </cell>
          <cell r="G9">
            <v>30</v>
          </cell>
          <cell r="H9">
            <v>30</v>
          </cell>
          <cell r="I9">
            <v>30</v>
          </cell>
          <cell r="J9">
            <v>5</v>
          </cell>
          <cell r="K9">
            <v>20</v>
          </cell>
          <cell r="L9">
            <v>30</v>
          </cell>
          <cell r="M9">
            <v>45</v>
          </cell>
          <cell r="N9">
            <v>50</v>
          </cell>
          <cell r="O9">
            <v>10</v>
          </cell>
          <cell r="P9">
            <v>10</v>
          </cell>
          <cell r="Q9">
            <v>10</v>
          </cell>
          <cell r="R9">
            <v>10</v>
          </cell>
        </row>
        <row r="10">
          <cell r="A10" t="str">
            <v>SI1615_20260618</v>
          </cell>
          <cell r="B10" t="str">
            <v>장세래</v>
          </cell>
          <cell r="C10">
            <v>46191</v>
          </cell>
          <cell r="D10" t="str">
            <v>설화수 진설명작크림 60ML (26AD 캡장식-하단링</v>
          </cell>
          <cell r="F10">
            <v>30</v>
          </cell>
          <cell r="G10">
            <v>30</v>
          </cell>
          <cell r="H10">
            <v>30</v>
          </cell>
          <cell r="I10">
            <v>30</v>
          </cell>
          <cell r="J10">
            <v>5</v>
          </cell>
          <cell r="K10">
            <v>25</v>
          </cell>
          <cell r="L10">
            <v>30</v>
          </cell>
          <cell r="M10">
            <v>35</v>
          </cell>
          <cell r="N10">
            <v>40</v>
          </cell>
          <cell r="O10">
            <v>8</v>
          </cell>
          <cell r="P10">
            <v>8</v>
          </cell>
          <cell r="Q10">
            <v>8</v>
          </cell>
          <cell r="R10">
            <v>8</v>
          </cell>
        </row>
        <row r="11">
          <cell r="A11" t="str">
            <v>SI1616_20260612</v>
          </cell>
          <cell r="B11">
            <v>0</v>
          </cell>
          <cell r="C11">
            <v>46185</v>
          </cell>
          <cell r="D11" t="str">
            <v>설화수 진설명작크림 60ML (26AD 사출덮개</v>
          </cell>
          <cell r="F11">
            <v>35</v>
          </cell>
          <cell r="G11">
            <v>35</v>
          </cell>
          <cell r="H11">
            <v>35</v>
          </cell>
          <cell r="I11">
            <v>35</v>
          </cell>
          <cell r="J11">
            <v>4</v>
          </cell>
          <cell r="K11">
            <v>10</v>
          </cell>
          <cell r="L11">
            <v>15</v>
          </cell>
          <cell r="M11">
            <v>25</v>
          </cell>
          <cell r="N11">
            <v>30</v>
          </cell>
          <cell r="O11">
            <v>5</v>
          </cell>
          <cell r="P11">
            <v>5</v>
          </cell>
          <cell r="Q11">
            <v>5</v>
          </cell>
          <cell r="R11">
            <v>5</v>
          </cell>
        </row>
        <row r="12">
          <cell r="A12" t="str">
            <v>SI1679_20260611</v>
          </cell>
          <cell r="B12" t="str">
            <v>장세래</v>
          </cell>
          <cell r="C12">
            <v>46184</v>
          </cell>
          <cell r="D12" t="str">
            <v>설화수 진설명작크림 60ML (27 AD)_암호 하케이스 사출</v>
          </cell>
          <cell r="F12">
            <v>20</v>
          </cell>
          <cell r="G12">
            <v>20</v>
          </cell>
          <cell r="H12">
            <v>20</v>
          </cell>
          <cell r="I12">
            <v>20</v>
          </cell>
          <cell r="K12">
            <v>10</v>
          </cell>
          <cell r="L12">
            <v>20</v>
          </cell>
          <cell r="M12">
            <v>55</v>
          </cell>
          <cell r="N12">
            <v>60</v>
          </cell>
          <cell r="O12">
            <v>10</v>
          </cell>
          <cell r="P12">
            <v>10</v>
          </cell>
          <cell r="Q12">
            <v>10</v>
          </cell>
          <cell r="R12">
            <v>10</v>
          </cell>
        </row>
        <row r="13">
          <cell r="A13" t="str">
            <v>SI1678_20260611</v>
          </cell>
          <cell r="B13" t="str">
            <v>장세래</v>
          </cell>
          <cell r="C13">
            <v>46184</v>
          </cell>
          <cell r="D13" t="str">
            <v>설화수 진설명작크림 60ML (27 AD)_암호 상케이스 사출</v>
          </cell>
          <cell r="F13">
            <v>20</v>
          </cell>
          <cell r="G13">
            <v>20</v>
          </cell>
          <cell r="H13">
            <v>20</v>
          </cell>
          <cell r="I13">
            <v>20</v>
          </cell>
          <cell r="K13">
            <v>30</v>
          </cell>
          <cell r="L13">
            <v>40</v>
          </cell>
          <cell r="M13">
            <v>55</v>
          </cell>
          <cell r="N13">
            <v>60</v>
          </cell>
          <cell r="O13">
            <v>10</v>
          </cell>
          <cell r="P13">
            <v>10</v>
          </cell>
          <cell r="Q13">
            <v>10</v>
          </cell>
          <cell r="R13">
            <v>10</v>
          </cell>
        </row>
        <row r="14">
          <cell r="A14" t="str">
            <v>SI1618_20260610</v>
          </cell>
          <cell r="B14" t="str">
            <v>장세래</v>
          </cell>
          <cell r="C14">
            <v>46183</v>
          </cell>
          <cell r="D14" t="str">
            <v>설화수 진설명작크림 60ML (26AD 내용기</v>
          </cell>
          <cell r="F14">
            <v>100</v>
          </cell>
          <cell r="G14">
            <v>100</v>
          </cell>
          <cell r="H14">
            <v>100</v>
          </cell>
          <cell r="I14">
            <v>100</v>
          </cell>
          <cell r="K14">
            <v>20</v>
          </cell>
          <cell r="L14">
            <v>30</v>
          </cell>
          <cell r="M14">
            <v>40</v>
          </cell>
          <cell r="N14">
            <v>60</v>
          </cell>
          <cell r="O14">
            <v>10</v>
          </cell>
          <cell r="P14">
            <v>10</v>
          </cell>
          <cell r="Q14">
            <v>10</v>
          </cell>
          <cell r="R14">
            <v>5</v>
          </cell>
        </row>
        <row r="15">
          <cell r="A15" t="str">
            <v>SI1619_20260610</v>
          </cell>
          <cell r="B15" t="str">
            <v>장세래</v>
          </cell>
          <cell r="C15">
            <v>46183</v>
          </cell>
          <cell r="D15" t="str">
            <v>설화수 진설명작크림 60ML (26AD 외용기</v>
          </cell>
          <cell r="G15">
            <v>50</v>
          </cell>
          <cell r="H15">
            <v>50</v>
          </cell>
          <cell r="I15">
            <v>50</v>
          </cell>
          <cell r="J15">
            <v>5</v>
          </cell>
          <cell r="L15">
            <v>20</v>
          </cell>
          <cell r="M15">
            <v>60</v>
          </cell>
          <cell r="N15">
            <v>80</v>
          </cell>
          <cell r="P15">
            <v>15</v>
          </cell>
          <cell r="Q15">
            <v>15</v>
          </cell>
          <cell r="R15">
            <v>15</v>
          </cell>
        </row>
        <row r="16">
          <cell r="A16" t="str">
            <v>SI1618_20260610</v>
          </cell>
          <cell r="B16" t="str">
            <v>장세래</v>
          </cell>
          <cell r="C16">
            <v>46183</v>
          </cell>
          <cell r="D16" t="str">
            <v>설화수 진설명작크림 60ML (26AD 내용기</v>
          </cell>
          <cell r="F16">
            <v>100</v>
          </cell>
          <cell r="G16">
            <v>100</v>
          </cell>
          <cell r="H16">
            <v>100</v>
          </cell>
          <cell r="I16">
            <v>100</v>
          </cell>
          <cell r="K16">
            <v>20</v>
          </cell>
          <cell r="L16">
            <v>30</v>
          </cell>
          <cell r="M16">
            <v>40</v>
          </cell>
          <cell r="N16">
            <v>60</v>
          </cell>
          <cell r="O16">
            <v>10</v>
          </cell>
          <cell r="P16">
            <v>10</v>
          </cell>
          <cell r="Q16">
            <v>10</v>
          </cell>
          <cell r="R16">
            <v>5</v>
          </cell>
        </row>
        <row r="17">
          <cell r="A17" t="str">
            <v>SI1619_20260608</v>
          </cell>
          <cell r="B17" t="str">
            <v>한창구</v>
          </cell>
          <cell r="C17">
            <v>46181</v>
          </cell>
          <cell r="D17" t="str">
            <v>설화수 진설명작크림 60ML (26AD 외용기</v>
          </cell>
          <cell r="F17">
            <v>50</v>
          </cell>
          <cell r="G17">
            <v>50</v>
          </cell>
          <cell r="H17">
            <v>50</v>
          </cell>
          <cell r="I17">
            <v>50</v>
          </cell>
          <cell r="J17">
            <v>5</v>
          </cell>
          <cell r="K17">
            <v>10</v>
          </cell>
          <cell r="L17">
            <v>20</v>
          </cell>
          <cell r="M17">
            <v>60</v>
          </cell>
          <cell r="N17">
            <v>90</v>
          </cell>
          <cell r="P17">
            <v>10</v>
          </cell>
          <cell r="Q17">
            <v>10</v>
          </cell>
          <cell r="R17">
            <v>10</v>
          </cell>
        </row>
        <row r="18">
          <cell r="A18" t="str">
            <v>SI1620_20260609</v>
          </cell>
          <cell r="B18" t="str">
            <v>유재호</v>
          </cell>
          <cell r="C18">
            <v>46182</v>
          </cell>
          <cell r="D18" t="str">
            <v>설화수 진설명작크림 60ML (26AD 용기받침 사출</v>
          </cell>
          <cell r="F18">
            <v>30</v>
          </cell>
          <cell r="G18">
            <v>30</v>
          </cell>
          <cell r="H18">
            <v>30</v>
          </cell>
          <cell r="I18">
            <v>30</v>
          </cell>
          <cell r="J18">
            <v>6</v>
          </cell>
          <cell r="K18">
            <v>10</v>
          </cell>
          <cell r="L18">
            <v>30</v>
          </cell>
          <cell r="M18">
            <v>50</v>
          </cell>
          <cell r="N18">
            <v>80</v>
          </cell>
          <cell r="O18">
            <v>5</v>
          </cell>
          <cell r="P18">
            <v>5</v>
          </cell>
          <cell r="Q18">
            <v>5</v>
          </cell>
          <cell r="R18">
            <v>3</v>
          </cell>
        </row>
        <row r="19">
          <cell r="A19" t="str">
            <v>SI1621_20260609</v>
          </cell>
          <cell r="B19" t="str">
            <v>유재호</v>
          </cell>
          <cell r="C19">
            <v>46182</v>
          </cell>
          <cell r="D19" t="str">
            <v>설화수 진설명작크림 60ML (26AD 숄더장식 사출</v>
          </cell>
          <cell r="F19">
            <v>30</v>
          </cell>
          <cell r="G19">
            <v>30</v>
          </cell>
          <cell r="H19">
            <v>30</v>
          </cell>
          <cell r="I19">
            <v>30</v>
          </cell>
          <cell r="J19">
            <v>10</v>
          </cell>
          <cell r="K19">
            <v>20</v>
          </cell>
          <cell r="L19">
            <v>30</v>
          </cell>
          <cell r="M19">
            <v>40</v>
          </cell>
          <cell r="N19">
            <v>60</v>
          </cell>
          <cell r="O19">
            <v>3</v>
          </cell>
          <cell r="P19">
            <v>3</v>
          </cell>
          <cell r="Q19">
            <v>3</v>
          </cell>
          <cell r="R19">
            <v>1</v>
          </cell>
        </row>
        <row r="20">
          <cell r="A20" t="str">
            <v>SI1617_20260609</v>
          </cell>
          <cell r="B20" t="str">
            <v>유재호</v>
          </cell>
          <cell r="C20">
            <v>46182</v>
          </cell>
          <cell r="D20" t="str">
            <v>설화수 진설명작크림 60ML (26AD 중용기</v>
          </cell>
          <cell r="F20">
            <v>30</v>
          </cell>
          <cell r="G20">
            <v>30</v>
          </cell>
          <cell r="H20">
            <v>30</v>
          </cell>
          <cell r="I20">
            <v>30</v>
          </cell>
          <cell r="J20">
            <v>6</v>
          </cell>
          <cell r="K20">
            <v>20</v>
          </cell>
          <cell r="L20">
            <v>30</v>
          </cell>
          <cell r="M20">
            <v>40</v>
          </cell>
          <cell r="N20">
            <v>660</v>
          </cell>
          <cell r="O20">
            <v>5</v>
          </cell>
          <cell r="P20">
            <v>5</v>
          </cell>
          <cell r="Q20">
            <v>5</v>
          </cell>
          <cell r="R20">
            <v>3</v>
          </cell>
        </row>
        <row r="21">
          <cell r="A21" t="str">
            <v>SI1674_20260414</v>
          </cell>
          <cell r="B21" t="str">
            <v>장세래</v>
          </cell>
          <cell r="C21">
            <v>46126</v>
          </cell>
          <cell r="D21" t="str">
            <v>미니슬림쿠션 접시 사출</v>
          </cell>
          <cell r="F21">
            <v>20</v>
          </cell>
          <cell r="G21">
            <v>20</v>
          </cell>
          <cell r="H21">
            <v>20</v>
          </cell>
          <cell r="I21">
            <v>20</v>
          </cell>
          <cell r="J21">
            <v>5</v>
          </cell>
          <cell r="K21">
            <v>15</v>
          </cell>
          <cell r="L21">
            <v>20</v>
          </cell>
          <cell r="M21">
            <v>25</v>
          </cell>
          <cell r="N21">
            <v>30</v>
          </cell>
          <cell r="O21">
            <v>5</v>
          </cell>
          <cell r="P21">
            <v>5</v>
          </cell>
          <cell r="Q21">
            <v>5</v>
          </cell>
          <cell r="R21">
            <v>5</v>
          </cell>
        </row>
        <row r="22">
          <cell r="A22" t="str">
            <v>SI1675_20260414</v>
          </cell>
          <cell r="B22" t="str">
            <v>장세래</v>
          </cell>
          <cell r="C22">
            <v>46126</v>
          </cell>
          <cell r="D22" t="str">
            <v>미니슬림쿠션 중용기 덮개 사출</v>
          </cell>
          <cell r="F22">
            <v>20</v>
          </cell>
          <cell r="G22">
            <v>20</v>
          </cell>
          <cell r="H22">
            <v>20</v>
          </cell>
          <cell r="I22">
            <v>20</v>
          </cell>
          <cell r="J22">
            <v>5</v>
          </cell>
          <cell r="K22">
            <v>15</v>
          </cell>
          <cell r="L22">
            <v>20</v>
          </cell>
          <cell r="M22">
            <v>25</v>
          </cell>
          <cell r="N22">
            <v>30</v>
          </cell>
          <cell r="O22">
            <v>5</v>
          </cell>
          <cell r="P22">
            <v>5</v>
          </cell>
          <cell r="Q22">
            <v>5</v>
          </cell>
          <cell r="R22">
            <v>5</v>
          </cell>
        </row>
        <row r="23">
          <cell r="A23" t="str">
            <v>SI1676_20260414</v>
          </cell>
          <cell r="B23" t="str">
            <v>장세래</v>
          </cell>
          <cell r="C23">
            <v>46126</v>
          </cell>
          <cell r="D23" t="str">
            <v>미니슬림쿠션 중용기 사출</v>
          </cell>
          <cell r="F23">
            <v>20</v>
          </cell>
          <cell r="G23">
            <v>20</v>
          </cell>
          <cell r="H23">
            <v>20</v>
          </cell>
          <cell r="I23">
            <v>20</v>
          </cell>
          <cell r="J23">
            <v>5</v>
          </cell>
          <cell r="K23">
            <v>15</v>
          </cell>
          <cell r="L23">
            <v>20</v>
          </cell>
          <cell r="M23">
            <v>25</v>
          </cell>
          <cell r="N23">
            <v>30</v>
          </cell>
          <cell r="O23">
            <v>5</v>
          </cell>
          <cell r="P23">
            <v>5</v>
          </cell>
          <cell r="Q23">
            <v>5</v>
          </cell>
          <cell r="R23">
            <v>5</v>
          </cell>
        </row>
        <row r="24">
          <cell r="A24" t="str">
            <v>SI1673_20260413</v>
          </cell>
          <cell r="B24" t="str">
            <v>장세래</v>
          </cell>
          <cell r="C24">
            <v>46125</v>
          </cell>
          <cell r="D24" t="str">
            <v>미니슬림쿠션 하케이스 사출</v>
          </cell>
          <cell r="F24">
            <v>20</v>
          </cell>
          <cell r="G24">
            <v>20</v>
          </cell>
          <cell r="H24">
            <v>20</v>
          </cell>
          <cell r="I24">
            <v>20</v>
          </cell>
          <cell r="J24">
            <v>5</v>
          </cell>
          <cell r="K24">
            <v>15</v>
          </cell>
          <cell r="L24">
            <v>20</v>
          </cell>
          <cell r="M24">
            <v>25</v>
          </cell>
          <cell r="N24">
            <v>30</v>
          </cell>
          <cell r="O24">
            <v>5</v>
          </cell>
          <cell r="P24">
            <v>5</v>
          </cell>
          <cell r="Q24">
            <v>5</v>
          </cell>
          <cell r="R24">
            <v>5</v>
          </cell>
        </row>
        <row r="25">
          <cell r="A25" t="str">
            <v>SI1678_20260413</v>
          </cell>
          <cell r="B25" t="str">
            <v>장세래</v>
          </cell>
          <cell r="C25">
            <v>46125</v>
          </cell>
          <cell r="D25" t="str">
            <v>설화수 진설명작크림 60ML (27 AD)_암호 상케이스 사출</v>
          </cell>
          <cell r="F25">
            <v>20</v>
          </cell>
          <cell r="G25">
            <v>20</v>
          </cell>
          <cell r="H25">
            <v>20</v>
          </cell>
          <cell r="I25">
            <v>20</v>
          </cell>
          <cell r="K25">
            <v>35</v>
          </cell>
          <cell r="L25">
            <v>45</v>
          </cell>
          <cell r="M25">
            <v>55</v>
          </cell>
          <cell r="N25">
            <v>60</v>
          </cell>
          <cell r="O25">
            <v>5</v>
          </cell>
          <cell r="P25">
            <v>5</v>
          </cell>
          <cell r="Q25">
            <v>5</v>
          </cell>
          <cell r="R25">
            <v>5</v>
          </cell>
        </row>
        <row r="26">
          <cell r="A26" t="str">
            <v>SI1679_20260413</v>
          </cell>
          <cell r="B26" t="str">
            <v>장세래</v>
          </cell>
          <cell r="C26">
            <v>46125</v>
          </cell>
          <cell r="D26" t="str">
            <v>설화수 진설명작크림 60ML (27 AD)_암호 하케이스 사출</v>
          </cell>
          <cell r="F26">
            <v>20</v>
          </cell>
          <cell r="G26">
            <v>20</v>
          </cell>
          <cell r="H26">
            <v>20</v>
          </cell>
          <cell r="I26">
            <v>20</v>
          </cell>
          <cell r="K26">
            <v>35</v>
          </cell>
          <cell r="L26">
            <v>40</v>
          </cell>
          <cell r="M26">
            <v>55</v>
          </cell>
          <cell r="N26">
            <v>60</v>
          </cell>
          <cell r="O26">
            <v>5</v>
          </cell>
          <cell r="P26">
            <v>5</v>
          </cell>
          <cell r="Q26">
            <v>5</v>
          </cell>
          <cell r="R26">
            <v>5</v>
          </cell>
        </row>
        <row r="27">
          <cell r="A27" t="str">
            <v>SI1676_20260403</v>
          </cell>
          <cell r="B27" t="str">
            <v>장세래</v>
          </cell>
          <cell r="C27">
            <v>46115</v>
          </cell>
          <cell r="D27" t="str">
            <v>미니슬림쿠션 중용기 사출</v>
          </cell>
          <cell r="F27">
            <v>20</v>
          </cell>
          <cell r="G27">
            <v>20</v>
          </cell>
          <cell r="H27">
            <v>20</v>
          </cell>
          <cell r="I27">
            <v>20</v>
          </cell>
          <cell r="J27">
            <v>5</v>
          </cell>
          <cell r="K27">
            <v>15</v>
          </cell>
          <cell r="L27">
            <v>20</v>
          </cell>
          <cell r="M27">
            <v>25</v>
          </cell>
          <cell r="N27">
            <v>30</v>
          </cell>
          <cell r="O27">
            <v>5</v>
          </cell>
          <cell r="P27">
            <v>5</v>
          </cell>
          <cell r="Q27">
            <v>5</v>
          </cell>
          <cell r="R27">
            <v>5</v>
          </cell>
        </row>
        <row r="28">
          <cell r="A28" t="str">
            <v>SI1673_20260401</v>
          </cell>
          <cell r="B28" t="str">
            <v>장세래</v>
          </cell>
          <cell r="C28">
            <v>46113</v>
          </cell>
          <cell r="D28" t="str">
            <v>미니슬림쿠션 하케이스 사출</v>
          </cell>
          <cell r="F28">
            <v>50</v>
          </cell>
          <cell r="G28">
            <v>50</v>
          </cell>
          <cell r="H28">
            <v>50</v>
          </cell>
          <cell r="I28">
            <v>50</v>
          </cell>
          <cell r="J28">
            <v>5</v>
          </cell>
          <cell r="K28">
            <v>5</v>
          </cell>
          <cell r="L28">
            <v>20</v>
          </cell>
          <cell r="M28">
            <v>25</v>
          </cell>
          <cell r="N28">
            <v>30</v>
          </cell>
          <cell r="O28">
            <v>10</v>
          </cell>
          <cell r="P28">
            <v>10</v>
          </cell>
          <cell r="Q28">
            <v>10</v>
          </cell>
          <cell r="R28">
            <v>10</v>
          </cell>
        </row>
        <row r="29">
          <cell r="A29" t="str">
            <v>SI1673_20260330</v>
          </cell>
          <cell r="B29" t="str">
            <v>한창구</v>
          </cell>
          <cell r="C29">
            <v>46111</v>
          </cell>
          <cell r="D29" t="str">
            <v>미니슬림쿠션 하케이스 사출</v>
          </cell>
          <cell r="G29">
            <v>50</v>
          </cell>
          <cell r="H29">
            <v>50</v>
          </cell>
          <cell r="I29">
            <v>50</v>
          </cell>
          <cell r="J29">
            <v>5</v>
          </cell>
          <cell r="L29">
            <v>8</v>
          </cell>
          <cell r="M29">
            <v>25</v>
          </cell>
          <cell r="N29">
            <v>30</v>
          </cell>
          <cell r="P29">
            <v>10</v>
          </cell>
          <cell r="Q29">
            <v>10</v>
          </cell>
          <cell r="R29">
            <v>10</v>
          </cell>
        </row>
        <row r="30">
          <cell r="A30" t="str">
            <v>SI1672_20260330</v>
          </cell>
          <cell r="B30" t="str">
            <v>한창구</v>
          </cell>
          <cell r="C30">
            <v>46111</v>
          </cell>
          <cell r="D30" t="str">
            <v>미니슬림쿠션 상케이스 사출</v>
          </cell>
          <cell r="G30">
            <v>50</v>
          </cell>
          <cell r="H30">
            <v>50</v>
          </cell>
          <cell r="I30">
            <v>50</v>
          </cell>
          <cell r="J30">
            <v>5</v>
          </cell>
          <cell r="L30">
            <v>10</v>
          </cell>
          <cell r="M30">
            <v>25</v>
          </cell>
          <cell r="N30">
            <v>30</v>
          </cell>
          <cell r="P30">
            <v>10</v>
          </cell>
          <cell r="Q30">
            <v>10</v>
          </cell>
          <cell r="R30">
            <v>10</v>
          </cell>
        </row>
        <row r="31">
          <cell r="A31" t="str">
            <v>SI1668_20260327</v>
          </cell>
          <cell r="B31" t="str">
            <v>장세래</v>
          </cell>
          <cell r="C31">
            <v>46108</v>
          </cell>
          <cell r="D31" t="str">
            <v>마몽드 어메이징딥 민트클렌징밤 90ml(26AD 원터치단캡 사출</v>
          </cell>
          <cell r="F31">
            <v>20</v>
          </cell>
          <cell r="G31">
            <v>20</v>
          </cell>
          <cell r="H31">
            <v>20</v>
          </cell>
          <cell r="I31">
            <v>20</v>
          </cell>
          <cell r="J31">
            <v>5</v>
          </cell>
          <cell r="K31">
            <v>20</v>
          </cell>
          <cell r="L31">
            <v>40</v>
          </cell>
          <cell r="M31">
            <v>75</v>
          </cell>
          <cell r="N31">
            <v>80</v>
          </cell>
          <cell r="O31">
            <v>5</v>
          </cell>
          <cell r="P31">
            <v>10</v>
          </cell>
          <cell r="Q31">
            <v>10</v>
          </cell>
          <cell r="R31">
            <v>5</v>
          </cell>
        </row>
        <row r="32">
          <cell r="A32" t="str">
            <v>SI1621_20260327</v>
          </cell>
          <cell r="B32" t="str">
            <v>한창구</v>
          </cell>
          <cell r="C32">
            <v>46108</v>
          </cell>
          <cell r="D32" t="str">
            <v>설화수 진설명작크림 60ML (26AD 숄더장식 사출</v>
          </cell>
          <cell r="G32">
            <v>70</v>
          </cell>
          <cell r="H32">
            <v>70</v>
          </cell>
          <cell r="I32">
            <v>70</v>
          </cell>
          <cell r="J32">
            <v>5</v>
          </cell>
          <cell r="L32">
            <v>10</v>
          </cell>
          <cell r="M32">
            <v>50</v>
          </cell>
          <cell r="N32">
            <v>60</v>
          </cell>
          <cell r="P32">
            <v>20</v>
          </cell>
          <cell r="Q32">
            <v>20</v>
          </cell>
          <cell r="R32">
            <v>20</v>
          </cell>
        </row>
        <row r="33">
          <cell r="A33" t="str">
            <v>SI1617_20260326</v>
          </cell>
          <cell r="B33" t="str">
            <v>한창구</v>
          </cell>
          <cell r="C33">
            <v>46107</v>
          </cell>
          <cell r="D33" t="str">
            <v>설화수 진설명작크림 60ML (26AD 중용기</v>
          </cell>
          <cell r="G33">
            <v>70</v>
          </cell>
          <cell r="H33">
            <v>70</v>
          </cell>
          <cell r="I33">
            <v>70</v>
          </cell>
          <cell r="J33">
            <v>5</v>
          </cell>
          <cell r="L33">
            <v>10</v>
          </cell>
          <cell r="M33">
            <v>50</v>
          </cell>
          <cell r="N33">
            <v>60</v>
          </cell>
          <cell r="P33">
            <v>20</v>
          </cell>
          <cell r="Q33">
            <v>20</v>
          </cell>
          <cell r="R33">
            <v>20</v>
          </cell>
        </row>
        <row r="34">
          <cell r="A34" t="str">
            <v>SI1675_20260326</v>
          </cell>
          <cell r="B34" t="str">
            <v>장세래</v>
          </cell>
          <cell r="C34">
            <v>46107</v>
          </cell>
          <cell r="D34" t="str">
            <v>미니슬림쿠션 중용기 덮개 사출</v>
          </cell>
          <cell r="F34">
            <v>20</v>
          </cell>
          <cell r="G34">
            <v>20</v>
          </cell>
          <cell r="H34">
            <v>20</v>
          </cell>
          <cell r="I34">
            <v>20</v>
          </cell>
          <cell r="J34">
            <v>5</v>
          </cell>
          <cell r="K34">
            <v>15</v>
          </cell>
          <cell r="L34">
            <v>20</v>
          </cell>
          <cell r="M34">
            <v>25</v>
          </cell>
          <cell r="N34">
            <v>30</v>
          </cell>
          <cell r="O34">
            <v>5</v>
          </cell>
          <cell r="P34">
            <v>5</v>
          </cell>
          <cell r="Q34">
            <v>5</v>
          </cell>
          <cell r="R34">
            <v>5</v>
          </cell>
        </row>
        <row r="35">
          <cell r="A35" t="str">
            <v>SI1674_20260326</v>
          </cell>
          <cell r="B35" t="str">
            <v>장세래</v>
          </cell>
          <cell r="C35">
            <v>46107</v>
          </cell>
          <cell r="D35" t="str">
            <v>미니슬림쿠션 접시 사출</v>
          </cell>
          <cell r="F35">
            <v>20</v>
          </cell>
          <cell r="G35">
            <v>20</v>
          </cell>
          <cell r="H35">
            <v>20</v>
          </cell>
          <cell r="I35">
            <v>20</v>
          </cell>
          <cell r="J35">
            <v>5</v>
          </cell>
          <cell r="K35">
            <v>15</v>
          </cell>
          <cell r="L35">
            <v>20</v>
          </cell>
          <cell r="M35">
            <v>25</v>
          </cell>
          <cell r="N35">
            <v>30</v>
          </cell>
          <cell r="O35">
            <v>5</v>
          </cell>
          <cell r="P35">
            <v>5</v>
          </cell>
          <cell r="Q35">
            <v>5</v>
          </cell>
          <cell r="R35">
            <v>5</v>
          </cell>
        </row>
        <row r="36">
          <cell r="A36" t="str">
            <v>SI1620_20260326</v>
          </cell>
          <cell r="B36" t="str">
            <v>한창구</v>
          </cell>
          <cell r="C36">
            <v>46107</v>
          </cell>
          <cell r="D36" t="str">
            <v>설화수 진설명작크림 60ML (26AD 용기받침 사출</v>
          </cell>
          <cell r="G36">
            <v>70</v>
          </cell>
          <cell r="H36">
            <v>70</v>
          </cell>
          <cell r="I36">
            <v>70</v>
          </cell>
          <cell r="J36">
            <v>5</v>
          </cell>
          <cell r="L36">
            <v>10</v>
          </cell>
          <cell r="M36">
            <v>50</v>
          </cell>
          <cell r="N36">
            <v>60</v>
          </cell>
          <cell r="P36">
            <v>20</v>
          </cell>
          <cell r="Q36">
            <v>20</v>
          </cell>
          <cell r="R36">
            <v>20</v>
          </cell>
        </row>
        <row r="37">
          <cell r="A37" t="str">
            <v>SI1679_20260325</v>
          </cell>
          <cell r="B37" t="str">
            <v>장세래</v>
          </cell>
          <cell r="C37">
            <v>46106</v>
          </cell>
          <cell r="D37" t="str">
            <v>설화수 진설명작크림 60ML (27 AD)_암호 하케이스 사출</v>
          </cell>
          <cell r="F37">
            <v>20</v>
          </cell>
          <cell r="G37">
            <v>20</v>
          </cell>
          <cell r="H37">
            <v>20</v>
          </cell>
          <cell r="I37">
            <v>20</v>
          </cell>
          <cell r="K37">
            <v>20</v>
          </cell>
          <cell r="L37">
            <v>25</v>
          </cell>
          <cell r="M37">
            <v>35</v>
          </cell>
          <cell r="N37">
            <v>40</v>
          </cell>
          <cell r="O37">
            <v>10</v>
          </cell>
          <cell r="P37">
            <v>10</v>
          </cell>
          <cell r="Q37">
            <v>10</v>
          </cell>
          <cell r="R37">
            <v>10</v>
          </cell>
        </row>
        <row r="38">
          <cell r="A38" t="str">
            <v>SI1672_20260320</v>
          </cell>
          <cell r="B38" t="str">
            <v>장세래</v>
          </cell>
          <cell r="C38">
            <v>46101</v>
          </cell>
          <cell r="D38" t="str">
            <v>미니슬림쿠션 상케이스 사출</v>
          </cell>
          <cell r="F38">
            <v>20</v>
          </cell>
          <cell r="G38">
            <v>20</v>
          </cell>
          <cell r="H38">
            <v>20</v>
          </cell>
          <cell r="I38">
            <v>20</v>
          </cell>
          <cell r="J38">
            <v>5</v>
          </cell>
          <cell r="K38">
            <v>15</v>
          </cell>
          <cell r="L38">
            <v>20</v>
          </cell>
          <cell r="M38">
            <v>25</v>
          </cell>
          <cell r="N38">
            <v>30</v>
          </cell>
          <cell r="O38">
            <v>10</v>
          </cell>
          <cell r="P38">
            <v>10</v>
          </cell>
          <cell r="Q38">
            <v>10</v>
          </cell>
          <cell r="R38">
            <v>10</v>
          </cell>
        </row>
        <row r="39">
          <cell r="A39" t="str">
            <v>SI1673_20260320</v>
          </cell>
          <cell r="B39" t="str">
            <v>장세래</v>
          </cell>
          <cell r="C39">
            <v>46101</v>
          </cell>
          <cell r="D39" t="str">
            <v>미니슬림쿠션 하케이스 사출</v>
          </cell>
          <cell r="F39">
            <v>20</v>
          </cell>
          <cell r="G39">
            <v>20</v>
          </cell>
          <cell r="H39">
            <v>20</v>
          </cell>
          <cell r="I39">
            <v>20</v>
          </cell>
          <cell r="J39">
            <v>5</v>
          </cell>
          <cell r="K39">
            <v>15</v>
          </cell>
          <cell r="L39">
            <v>20</v>
          </cell>
          <cell r="M39">
            <v>25</v>
          </cell>
          <cell r="N39">
            <v>30</v>
          </cell>
          <cell r="O39">
            <v>10</v>
          </cell>
          <cell r="P39">
            <v>10</v>
          </cell>
          <cell r="Q39">
            <v>10</v>
          </cell>
          <cell r="R39">
            <v>10</v>
          </cell>
        </row>
        <row r="40">
          <cell r="A40" t="str">
            <v>SI1674_20260318</v>
          </cell>
          <cell r="B40" t="str">
            <v>장세래</v>
          </cell>
          <cell r="C40">
            <v>46099</v>
          </cell>
          <cell r="D40" t="str">
            <v>미니슬림쿠션 접시 사출</v>
          </cell>
          <cell r="F40">
            <v>10</v>
          </cell>
          <cell r="G40">
            <v>10</v>
          </cell>
          <cell r="H40">
            <v>10</v>
          </cell>
          <cell r="I40">
            <v>10</v>
          </cell>
          <cell r="J40">
            <v>5</v>
          </cell>
          <cell r="K40">
            <v>15</v>
          </cell>
          <cell r="L40">
            <v>20</v>
          </cell>
          <cell r="M40">
            <v>25</v>
          </cell>
          <cell r="N40">
            <v>30</v>
          </cell>
          <cell r="O40">
            <v>5</v>
          </cell>
          <cell r="P40">
            <v>5</v>
          </cell>
          <cell r="Q40">
            <v>5</v>
          </cell>
          <cell r="R40">
            <v>5</v>
          </cell>
        </row>
        <row r="41">
          <cell r="A41" t="str">
            <v>SI1660_20260317</v>
          </cell>
          <cell r="B41" t="str">
            <v>유재호</v>
          </cell>
          <cell r="C41">
            <v>46098</v>
          </cell>
          <cell r="D41" t="str">
            <v>오딧세이 블랙 로션 130ML (26 EC)(착인) 내캡 사출</v>
          </cell>
          <cell r="F41">
            <v>35</v>
          </cell>
          <cell r="G41">
            <v>35</v>
          </cell>
          <cell r="H41">
            <v>35</v>
          </cell>
          <cell r="I41">
            <v>35</v>
          </cell>
          <cell r="J41">
            <v>8</v>
          </cell>
          <cell r="K41">
            <v>10</v>
          </cell>
          <cell r="L41">
            <v>20</v>
          </cell>
          <cell r="M41">
            <v>50</v>
          </cell>
          <cell r="N41">
            <v>60</v>
          </cell>
          <cell r="O41">
            <v>2</v>
          </cell>
          <cell r="P41">
            <v>2</v>
          </cell>
          <cell r="Q41">
            <v>2</v>
          </cell>
          <cell r="R41">
            <v>2</v>
          </cell>
        </row>
        <row r="42">
          <cell r="A42" t="str">
            <v>SI1668_20260317</v>
          </cell>
          <cell r="B42" t="str">
            <v>장세래</v>
          </cell>
          <cell r="C42">
            <v>46098</v>
          </cell>
          <cell r="D42" t="str">
            <v>마몽드 어메이징딥 민트클렌징밤 90ml(26AD 원터치단캡 사출</v>
          </cell>
          <cell r="F42">
            <v>20</v>
          </cell>
          <cell r="G42">
            <v>20</v>
          </cell>
          <cell r="H42">
            <v>20</v>
          </cell>
          <cell r="I42">
            <v>20</v>
          </cell>
          <cell r="J42">
            <v>7</v>
          </cell>
          <cell r="K42">
            <v>25</v>
          </cell>
          <cell r="L42">
            <v>45</v>
          </cell>
          <cell r="M42">
            <v>75</v>
          </cell>
          <cell r="N42">
            <v>80</v>
          </cell>
          <cell r="O42">
            <v>5</v>
          </cell>
          <cell r="P42">
            <v>10</v>
          </cell>
          <cell r="Q42">
            <v>10</v>
          </cell>
          <cell r="R42">
            <v>5</v>
          </cell>
        </row>
        <row r="43">
          <cell r="A43" t="str">
            <v>SI1671_20260311</v>
          </cell>
          <cell r="B43" t="str">
            <v>한창구</v>
          </cell>
          <cell r="C43">
            <v>46092</v>
          </cell>
          <cell r="D43" t="str">
            <v>마몽드 어메이징딥 민트클렌징밤 90ml(26AD 단용기 사출</v>
          </cell>
          <cell r="F43">
            <v>35</v>
          </cell>
          <cell r="G43">
            <v>35</v>
          </cell>
          <cell r="H43">
            <v>35</v>
          </cell>
          <cell r="I43">
            <v>35</v>
          </cell>
          <cell r="K43">
            <v>20</v>
          </cell>
          <cell r="L43">
            <v>60</v>
          </cell>
          <cell r="M43">
            <v>140</v>
          </cell>
          <cell r="N43">
            <v>145</v>
          </cell>
          <cell r="O43">
            <v>8</v>
          </cell>
          <cell r="P43">
            <v>8</v>
          </cell>
          <cell r="Q43">
            <v>8</v>
          </cell>
          <cell r="R43">
            <v>8</v>
          </cell>
        </row>
        <row r="44">
          <cell r="A44" t="str">
            <v>SI1668_20260311</v>
          </cell>
          <cell r="B44" t="str">
            <v>장세래</v>
          </cell>
          <cell r="C44">
            <v>46092</v>
          </cell>
          <cell r="D44" t="str">
            <v>마몽드 어메이징딥 민트클렌징밤 90ml(26AD 원터치단캡 사출</v>
          </cell>
          <cell r="F44">
            <v>20</v>
          </cell>
          <cell r="G44">
            <v>20</v>
          </cell>
          <cell r="H44">
            <v>20</v>
          </cell>
          <cell r="I44">
            <v>20</v>
          </cell>
          <cell r="J44">
            <v>5</v>
          </cell>
          <cell r="K44">
            <v>20</v>
          </cell>
          <cell r="L44">
            <v>40</v>
          </cell>
          <cell r="M44">
            <v>85</v>
          </cell>
          <cell r="N44">
            <v>90</v>
          </cell>
          <cell r="O44">
            <v>5</v>
          </cell>
          <cell r="P44">
            <v>5</v>
          </cell>
          <cell r="Q44">
            <v>5</v>
          </cell>
          <cell r="R44">
            <v>5</v>
          </cell>
        </row>
        <row r="45">
          <cell r="A45" t="str">
            <v>SI1632_20260310</v>
          </cell>
          <cell r="B45" t="str">
            <v>유재호</v>
          </cell>
          <cell r="C45">
            <v>46091</v>
          </cell>
          <cell r="D45" t="str">
            <v>설화수 진설명작크림 (견) 5ML (AD 단용기</v>
          </cell>
          <cell r="F45">
            <v>50</v>
          </cell>
          <cell r="G45">
            <v>50</v>
          </cell>
          <cell r="H45">
            <v>50</v>
          </cell>
          <cell r="I45">
            <v>50</v>
          </cell>
          <cell r="J45">
            <v>5</v>
          </cell>
          <cell r="K45">
            <v>5</v>
          </cell>
          <cell r="L45">
            <v>10</v>
          </cell>
          <cell r="M45">
            <v>30</v>
          </cell>
          <cell r="N45">
            <v>60</v>
          </cell>
          <cell r="P45">
            <v>5</v>
          </cell>
          <cell r="Q45">
            <v>5</v>
          </cell>
          <cell r="R45">
            <v>5</v>
          </cell>
        </row>
        <row r="46">
          <cell r="A46" t="str">
            <v>SI1671_20260306</v>
          </cell>
          <cell r="B46" t="str">
            <v>장세래</v>
          </cell>
          <cell r="C46">
            <v>46087</v>
          </cell>
          <cell r="D46" t="str">
            <v>마몽드 어메이징딥 민트클렌징밤 90ml(26AD 단용기 사출</v>
          </cell>
          <cell r="F46">
            <v>20</v>
          </cell>
          <cell r="G46">
            <v>20</v>
          </cell>
          <cell r="H46">
            <v>20</v>
          </cell>
          <cell r="I46">
            <v>20</v>
          </cell>
          <cell r="K46">
            <v>20</v>
          </cell>
          <cell r="L46">
            <v>40</v>
          </cell>
          <cell r="M46">
            <v>115</v>
          </cell>
          <cell r="N46">
            <v>130</v>
          </cell>
          <cell r="O46">
            <v>10</v>
          </cell>
          <cell r="P46">
            <v>10</v>
          </cell>
          <cell r="Q46">
            <v>10</v>
          </cell>
          <cell r="R46">
            <v>10</v>
          </cell>
        </row>
        <row r="47">
          <cell r="A47" t="str">
            <v>SI1668_20260306</v>
          </cell>
          <cell r="B47" t="str">
            <v>장세래</v>
          </cell>
          <cell r="C47">
            <v>46087</v>
          </cell>
          <cell r="D47" t="str">
            <v>마몽드 어메이징딥 민트클렌징밤 90ml(26AD 원터치단캡 사출</v>
          </cell>
          <cell r="F47">
            <v>20</v>
          </cell>
          <cell r="G47">
            <v>20</v>
          </cell>
          <cell r="H47">
            <v>20</v>
          </cell>
          <cell r="I47">
            <v>20</v>
          </cell>
          <cell r="J47">
            <v>5</v>
          </cell>
          <cell r="K47">
            <v>20</v>
          </cell>
          <cell r="L47">
            <v>40</v>
          </cell>
          <cell r="M47">
            <v>75</v>
          </cell>
          <cell r="N47">
            <v>80</v>
          </cell>
          <cell r="O47">
            <v>5</v>
          </cell>
          <cell r="P47">
            <v>10</v>
          </cell>
          <cell r="Q47">
            <v>10</v>
          </cell>
          <cell r="R47">
            <v>5</v>
          </cell>
        </row>
        <row r="48">
          <cell r="A48" t="str">
            <v>SI1674_20260305</v>
          </cell>
          <cell r="B48" t="str">
            <v>장세래</v>
          </cell>
          <cell r="C48">
            <v>46086</v>
          </cell>
          <cell r="D48" t="str">
            <v>미니슬림쿠션 접시 사출</v>
          </cell>
          <cell r="F48">
            <v>50</v>
          </cell>
          <cell r="G48">
            <v>50</v>
          </cell>
          <cell r="H48">
            <v>50</v>
          </cell>
          <cell r="I48">
            <v>50</v>
          </cell>
          <cell r="K48">
            <v>15</v>
          </cell>
          <cell r="L48">
            <v>20</v>
          </cell>
          <cell r="M48">
            <v>25</v>
          </cell>
          <cell r="N48">
            <v>30</v>
          </cell>
          <cell r="O48">
            <v>5</v>
          </cell>
          <cell r="P48">
            <v>5</v>
          </cell>
          <cell r="Q48">
            <v>5</v>
          </cell>
          <cell r="R48">
            <v>5</v>
          </cell>
        </row>
        <row r="49">
          <cell r="A49" t="str">
            <v>SI1675_20260305</v>
          </cell>
          <cell r="B49" t="str">
            <v>장세래</v>
          </cell>
          <cell r="C49">
            <v>46086</v>
          </cell>
          <cell r="D49" t="str">
            <v>미니슬림쿠션 중용기 덮개 사출</v>
          </cell>
          <cell r="F49">
            <v>50</v>
          </cell>
          <cell r="G49">
            <v>50</v>
          </cell>
          <cell r="H49">
            <v>50</v>
          </cell>
          <cell r="I49">
            <v>50</v>
          </cell>
          <cell r="J49">
            <v>5</v>
          </cell>
          <cell r="K49">
            <v>15</v>
          </cell>
          <cell r="L49">
            <v>20</v>
          </cell>
          <cell r="M49">
            <v>25</v>
          </cell>
          <cell r="N49">
            <v>30</v>
          </cell>
          <cell r="O49">
            <v>5</v>
          </cell>
          <cell r="P49">
            <v>5</v>
          </cell>
          <cell r="Q49">
            <v>5</v>
          </cell>
          <cell r="R49">
            <v>5</v>
          </cell>
        </row>
        <row r="50">
          <cell r="A50" t="str">
            <v>SI1676_20260305</v>
          </cell>
          <cell r="B50" t="str">
            <v>장세래</v>
          </cell>
          <cell r="C50">
            <v>46086</v>
          </cell>
          <cell r="D50" t="str">
            <v>미니슬림쿠션 중용기 사출</v>
          </cell>
          <cell r="F50">
            <v>50</v>
          </cell>
          <cell r="G50">
            <v>50</v>
          </cell>
          <cell r="H50">
            <v>50</v>
          </cell>
          <cell r="I50">
            <v>50</v>
          </cell>
          <cell r="J50">
            <v>5</v>
          </cell>
          <cell r="K50">
            <v>5</v>
          </cell>
          <cell r="L50">
            <v>20</v>
          </cell>
          <cell r="M50">
            <v>25</v>
          </cell>
          <cell r="N50">
            <v>30</v>
          </cell>
          <cell r="O50">
            <v>5</v>
          </cell>
          <cell r="P50">
            <v>5</v>
          </cell>
          <cell r="Q50">
            <v>5</v>
          </cell>
          <cell r="R50">
            <v>5</v>
          </cell>
        </row>
        <row r="51">
          <cell r="A51" t="str">
            <v>SI1679_20260304</v>
          </cell>
          <cell r="B51" t="str">
            <v>장세래</v>
          </cell>
          <cell r="C51">
            <v>46085</v>
          </cell>
          <cell r="D51" t="str">
            <v>설화수 진설명작크림 60ML (27 AD)_암호 하케이스 사출</v>
          </cell>
          <cell r="F51">
            <v>20</v>
          </cell>
          <cell r="G51">
            <v>20</v>
          </cell>
          <cell r="H51">
            <v>20</v>
          </cell>
          <cell r="I51">
            <v>20</v>
          </cell>
          <cell r="K51">
            <v>30</v>
          </cell>
          <cell r="L51">
            <v>45</v>
          </cell>
          <cell r="M51">
            <v>55</v>
          </cell>
          <cell r="N51">
            <v>60</v>
          </cell>
          <cell r="O51">
            <v>20</v>
          </cell>
          <cell r="P51">
            <v>20</v>
          </cell>
          <cell r="Q51">
            <v>20</v>
          </cell>
          <cell r="R51">
            <v>20</v>
          </cell>
        </row>
        <row r="52">
          <cell r="A52" t="str">
            <v>SI1673_20260304</v>
          </cell>
          <cell r="B52" t="str">
            <v>장세래</v>
          </cell>
          <cell r="C52">
            <v>46085</v>
          </cell>
          <cell r="D52" t="str">
            <v>미니슬림쿠션 하케이스 사출</v>
          </cell>
          <cell r="F52">
            <v>50</v>
          </cell>
          <cell r="G52">
            <v>50</v>
          </cell>
          <cell r="H52">
            <v>50</v>
          </cell>
          <cell r="I52">
            <v>50</v>
          </cell>
          <cell r="J52">
            <v>5</v>
          </cell>
          <cell r="K52">
            <v>5</v>
          </cell>
          <cell r="L52">
            <v>20</v>
          </cell>
          <cell r="M52">
            <v>25</v>
          </cell>
          <cell r="N52">
            <v>30</v>
          </cell>
          <cell r="O52">
            <v>10</v>
          </cell>
          <cell r="P52">
            <v>10</v>
          </cell>
          <cell r="Q52">
            <v>10</v>
          </cell>
          <cell r="R52">
            <v>10</v>
          </cell>
        </row>
        <row r="53">
          <cell r="A53" t="str">
            <v>SI1672_20260304</v>
          </cell>
          <cell r="B53" t="str">
            <v>장세래</v>
          </cell>
          <cell r="C53">
            <v>46085</v>
          </cell>
          <cell r="D53" t="str">
            <v>미니슬림쿠션 상케이스 사출</v>
          </cell>
          <cell r="F53">
            <v>20</v>
          </cell>
          <cell r="G53">
            <v>20</v>
          </cell>
          <cell r="H53">
            <v>20</v>
          </cell>
          <cell r="I53">
            <v>20</v>
          </cell>
          <cell r="J53">
            <v>5</v>
          </cell>
          <cell r="K53">
            <v>5</v>
          </cell>
          <cell r="L53">
            <v>15</v>
          </cell>
          <cell r="M53">
            <v>25</v>
          </cell>
          <cell r="N53">
            <v>30</v>
          </cell>
          <cell r="O53">
            <v>10</v>
          </cell>
          <cell r="P53">
            <v>10</v>
          </cell>
          <cell r="Q53">
            <v>10</v>
          </cell>
          <cell r="R53">
            <v>10</v>
          </cell>
        </row>
        <row r="54">
          <cell r="A54" t="str">
            <v>SI1678_20260225</v>
          </cell>
          <cell r="B54" t="str">
            <v>장세래</v>
          </cell>
          <cell r="C54">
            <v>46078</v>
          </cell>
          <cell r="D54" t="str">
            <v>설화수 진설명작크림 60ML (27 AD)_암호 상케이스 사출</v>
          </cell>
          <cell r="F54">
            <v>20</v>
          </cell>
          <cell r="G54">
            <v>20</v>
          </cell>
          <cell r="H54">
            <v>20</v>
          </cell>
          <cell r="I54">
            <v>20</v>
          </cell>
          <cell r="K54">
            <v>25</v>
          </cell>
          <cell r="L54">
            <v>45</v>
          </cell>
          <cell r="M54">
            <v>55</v>
          </cell>
          <cell r="N54">
            <v>60</v>
          </cell>
          <cell r="O54">
            <v>2</v>
          </cell>
          <cell r="P54">
            <v>2</v>
          </cell>
          <cell r="Q54">
            <v>2</v>
          </cell>
          <cell r="R54">
            <v>2</v>
          </cell>
        </row>
        <row r="55">
          <cell r="A55" t="str">
            <v>SI1616_20260225</v>
          </cell>
          <cell r="B55">
            <v>0</v>
          </cell>
          <cell r="C55">
            <v>46078</v>
          </cell>
          <cell r="D55" t="str">
            <v>설화수 진설명작크림 60ML (26AD 사출덮개</v>
          </cell>
          <cell r="F55">
            <v>35</v>
          </cell>
          <cell r="G55">
            <v>35</v>
          </cell>
          <cell r="H55">
            <v>35</v>
          </cell>
          <cell r="I55">
            <v>35</v>
          </cell>
          <cell r="J55">
            <v>4</v>
          </cell>
          <cell r="K55">
            <v>10</v>
          </cell>
          <cell r="L55">
            <v>20</v>
          </cell>
          <cell r="M55">
            <v>25</v>
          </cell>
          <cell r="N55">
            <v>30</v>
          </cell>
          <cell r="P55">
            <v>5</v>
          </cell>
          <cell r="Q55">
            <v>5</v>
          </cell>
          <cell r="R55">
            <v>5</v>
          </cell>
        </row>
        <row r="56">
          <cell r="A56" t="str">
            <v>SI1633_20260220</v>
          </cell>
          <cell r="B56" t="str">
            <v>한창구</v>
          </cell>
          <cell r="C56">
            <v>46073</v>
          </cell>
          <cell r="D56" t="str">
            <v>설화수 진설명작크림 (견) 5ML (AD 용기받침</v>
          </cell>
          <cell r="F56">
            <v>30</v>
          </cell>
          <cell r="G56">
            <v>30</v>
          </cell>
          <cell r="H56">
            <v>30</v>
          </cell>
          <cell r="I56">
            <v>30</v>
          </cell>
          <cell r="J56">
            <v>5</v>
          </cell>
          <cell r="K56">
            <v>10</v>
          </cell>
          <cell r="L56">
            <v>20</v>
          </cell>
          <cell r="M56">
            <v>50</v>
          </cell>
          <cell r="N56">
            <v>60</v>
          </cell>
          <cell r="O56">
            <v>20</v>
          </cell>
          <cell r="P56">
            <v>25</v>
          </cell>
          <cell r="Q56">
            <v>25</v>
          </cell>
          <cell r="R56">
            <v>15</v>
          </cell>
        </row>
        <row r="57">
          <cell r="A57" t="str">
            <v>SI1674_20260213</v>
          </cell>
          <cell r="B57" t="str">
            <v>장세래</v>
          </cell>
          <cell r="C57">
            <v>46066</v>
          </cell>
          <cell r="D57" t="str">
            <v>미니슬림쿠션 접시 사출</v>
          </cell>
          <cell r="F57">
            <v>20</v>
          </cell>
          <cell r="G57">
            <v>20</v>
          </cell>
          <cell r="H57">
            <v>20</v>
          </cell>
          <cell r="I57">
            <v>20</v>
          </cell>
          <cell r="J57">
            <v>5</v>
          </cell>
          <cell r="K57">
            <v>5</v>
          </cell>
          <cell r="L57">
            <v>10</v>
          </cell>
          <cell r="M57">
            <v>15</v>
          </cell>
          <cell r="N57">
            <v>20</v>
          </cell>
          <cell r="O57">
            <v>5</v>
          </cell>
          <cell r="P57">
            <v>5</v>
          </cell>
          <cell r="Q57">
            <v>5</v>
          </cell>
          <cell r="R57">
            <v>5</v>
          </cell>
        </row>
        <row r="58">
          <cell r="A58" t="str">
            <v>SI1640_20260213</v>
          </cell>
          <cell r="B58" t="str">
            <v>한창구</v>
          </cell>
          <cell r="C58">
            <v>46066</v>
          </cell>
          <cell r="D58" t="str">
            <v>헤라 시그니아 바이탈리프팅크림 소용량 15ml 26AD 내캡</v>
          </cell>
          <cell r="F58" t="str">
            <v>60(45)</v>
          </cell>
          <cell r="G58" t="str">
            <v>60(45)</v>
          </cell>
          <cell r="H58" t="str">
            <v>60(45)</v>
          </cell>
          <cell r="I58" t="str">
            <v>60(45)</v>
          </cell>
          <cell r="J58">
            <v>67</v>
          </cell>
          <cell r="K58">
            <v>20</v>
          </cell>
          <cell r="L58">
            <v>40</v>
          </cell>
          <cell r="M58">
            <v>50</v>
          </cell>
          <cell r="N58">
            <v>60</v>
          </cell>
          <cell r="O58">
            <v>3</v>
          </cell>
          <cell r="P58">
            <v>3</v>
          </cell>
          <cell r="Q58">
            <v>3</v>
          </cell>
          <cell r="R58">
            <v>1</v>
          </cell>
        </row>
        <row r="59">
          <cell r="A59" t="str">
            <v>SI1676_20260210</v>
          </cell>
          <cell r="B59" t="str">
            <v>장세래</v>
          </cell>
          <cell r="C59">
            <v>46063</v>
          </cell>
          <cell r="D59" t="str">
            <v>미니슬림쿠션 중용기 사출</v>
          </cell>
          <cell r="F59">
            <v>20</v>
          </cell>
          <cell r="G59">
            <v>20</v>
          </cell>
          <cell r="H59">
            <v>20</v>
          </cell>
          <cell r="I59">
            <v>20</v>
          </cell>
          <cell r="J59">
            <v>5</v>
          </cell>
          <cell r="K59">
            <v>5</v>
          </cell>
          <cell r="L59">
            <v>10</v>
          </cell>
          <cell r="M59">
            <v>15</v>
          </cell>
          <cell r="N59">
            <v>20</v>
          </cell>
          <cell r="O59">
            <v>5</v>
          </cell>
          <cell r="P59">
            <v>5</v>
          </cell>
          <cell r="Q59">
            <v>5</v>
          </cell>
          <cell r="R59">
            <v>5</v>
          </cell>
        </row>
        <row r="60">
          <cell r="A60" t="str">
            <v>SI1668_20260210</v>
          </cell>
          <cell r="B60" t="str">
            <v>장세래</v>
          </cell>
          <cell r="C60">
            <v>46063</v>
          </cell>
          <cell r="D60" t="str">
            <v>마몽드 어메이징딥 민트클렌징밤 90ml(26AD 원터치단캡 사출</v>
          </cell>
          <cell r="F60">
            <v>20</v>
          </cell>
          <cell r="G60">
            <v>20</v>
          </cell>
          <cell r="H60">
            <v>20</v>
          </cell>
          <cell r="I60">
            <v>20</v>
          </cell>
          <cell r="J60">
            <v>5</v>
          </cell>
          <cell r="K60">
            <v>10</v>
          </cell>
          <cell r="L60">
            <v>40</v>
          </cell>
          <cell r="M60">
            <v>70</v>
          </cell>
          <cell r="N60">
            <v>80</v>
          </cell>
          <cell r="O60">
            <v>5</v>
          </cell>
          <cell r="P60">
            <v>10</v>
          </cell>
          <cell r="Q60">
            <v>10</v>
          </cell>
          <cell r="R60">
            <v>5</v>
          </cell>
        </row>
        <row r="61">
          <cell r="A61" t="str">
            <v>SI1616_20260209</v>
          </cell>
          <cell r="B61" t="str">
            <v>이종운</v>
          </cell>
          <cell r="C61">
            <v>46062</v>
          </cell>
          <cell r="D61" t="str">
            <v>설화수 진설명작크림 60ML (26AD 사출덮개</v>
          </cell>
          <cell r="G61">
            <v>35</v>
          </cell>
          <cell r="H61">
            <v>35</v>
          </cell>
          <cell r="I61">
            <v>35</v>
          </cell>
          <cell r="J61">
            <v>4</v>
          </cell>
          <cell r="L61">
            <v>10</v>
          </cell>
          <cell r="M61">
            <v>25</v>
          </cell>
          <cell r="N61">
            <v>30</v>
          </cell>
          <cell r="P61">
            <v>5</v>
          </cell>
          <cell r="Q61">
            <v>5</v>
          </cell>
          <cell r="R61">
            <v>5</v>
          </cell>
        </row>
        <row r="62">
          <cell r="A62" t="str">
            <v>SI1629_20260209</v>
          </cell>
          <cell r="B62" t="str">
            <v>이종운</v>
          </cell>
          <cell r="C62">
            <v>46062</v>
          </cell>
          <cell r="D62" t="str">
            <v>설화수 진설명작크림 (견) 10ML (AD 사출덮개</v>
          </cell>
          <cell r="G62">
            <v>100</v>
          </cell>
          <cell r="H62">
            <v>100</v>
          </cell>
          <cell r="I62">
            <v>100</v>
          </cell>
          <cell r="J62">
            <v>8</v>
          </cell>
          <cell r="L62">
            <v>10</v>
          </cell>
          <cell r="M62">
            <v>40</v>
          </cell>
          <cell r="N62">
            <v>50</v>
          </cell>
          <cell r="P62">
            <v>8</v>
          </cell>
          <cell r="Q62">
            <v>8</v>
          </cell>
          <cell r="R62">
            <v>5</v>
          </cell>
        </row>
        <row r="63">
          <cell r="A63" t="str">
            <v>SI1634_20260209</v>
          </cell>
          <cell r="B63" t="str">
            <v>이종운</v>
          </cell>
          <cell r="C63">
            <v>46062</v>
          </cell>
          <cell r="D63" t="str">
            <v>설화수 진설명작크림 (견) 5ML (AD 사출덮개</v>
          </cell>
          <cell r="F63">
            <v>45</v>
          </cell>
          <cell r="G63">
            <v>45</v>
          </cell>
          <cell r="H63">
            <v>45</v>
          </cell>
          <cell r="I63">
            <v>40</v>
          </cell>
          <cell r="J63">
            <v>5</v>
          </cell>
          <cell r="K63">
            <v>5</v>
          </cell>
          <cell r="L63">
            <v>10</v>
          </cell>
          <cell r="M63">
            <v>20</v>
          </cell>
          <cell r="N63">
            <v>25</v>
          </cell>
          <cell r="O63">
            <v>5</v>
          </cell>
          <cell r="P63">
            <v>5</v>
          </cell>
          <cell r="Q63">
            <v>5</v>
          </cell>
          <cell r="R63">
            <v>5</v>
          </cell>
        </row>
        <row r="64">
          <cell r="A64" t="str">
            <v>SI1667_20260206</v>
          </cell>
          <cell r="B64">
            <v>0</v>
          </cell>
          <cell r="C64">
            <v>46059</v>
          </cell>
          <cell r="D64" t="str">
            <v>오딧세이 로맨틱더클래식 스킨리파이너130ML(26EC(착인 내캡</v>
          </cell>
          <cell r="F64" t="str">
            <v>20/30</v>
          </cell>
          <cell r="G64" t="str">
            <v>20/30</v>
          </cell>
          <cell r="H64" t="str">
            <v>20/30</v>
          </cell>
          <cell r="I64" t="str">
            <v>20/30</v>
          </cell>
          <cell r="J64">
            <v>7</v>
          </cell>
          <cell r="K64">
            <v>20</v>
          </cell>
          <cell r="L64">
            <v>30</v>
          </cell>
          <cell r="M64">
            <v>40</v>
          </cell>
          <cell r="N64">
            <v>60</v>
          </cell>
          <cell r="O64">
            <v>3</v>
          </cell>
          <cell r="P64">
            <v>3</v>
          </cell>
          <cell r="Q64">
            <v>3</v>
          </cell>
          <cell r="R64">
            <v>3</v>
          </cell>
        </row>
        <row r="65">
          <cell r="A65" t="str">
            <v>SI1674_20260204</v>
          </cell>
          <cell r="B65" t="str">
            <v>장세래</v>
          </cell>
          <cell r="C65">
            <v>46057</v>
          </cell>
          <cell r="D65" t="str">
            <v>미니슬림쿠션 접시 사출</v>
          </cell>
          <cell r="F65">
            <v>20</v>
          </cell>
          <cell r="G65">
            <v>20</v>
          </cell>
          <cell r="H65">
            <v>20</v>
          </cell>
          <cell r="I65">
            <v>20</v>
          </cell>
          <cell r="K65">
            <v>5</v>
          </cell>
          <cell r="L65">
            <v>10</v>
          </cell>
          <cell r="M65">
            <v>15</v>
          </cell>
          <cell r="N65">
            <v>20</v>
          </cell>
          <cell r="O65">
            <v>10</v>
          </cell>
          <cell r="P65">
            <v>10</v>
          </cell>
          <cell r="Q65">
            <v>10</v>
          </cell>
          <cell r="R65">
            <v>10</v>
          </cell>
        </row>
        <row r="66">
          <cell r="A66" t="str">
            <v>SI1675_20260203</v>
          </cell>
          <cell r="B66" t="str">
            <v>장세래</v>
          </cell>
          <cell r="C66">
            <v>46056</v>
          </cell>
          <cell r="D66" t="str">
            <v>미니슬림쿠션 중용기 덮개 사출</v>
          </cell>
          <cell r="F66">
            <v>20</v>
          </cell>
          <cell r="G66">
            <v>20</v>
          </cell>
          <cell r="H66">
            <v>20</v>
          </cell>
          <cell r="I66">
            <v>20</v>
          </cell>
          <cell r="J66">
            <v>5</v>
          </cell>
          <cell r="K66">
            <v>5</v>
          </cell>
          <cell r="L66">
            <v>10</v>
          </cell>
          <cell r="M66">
            <v>15</v>
          </cell>
          <cell r="N66">
            <v>20</v>
          </cell>
          <cell r="O66">
            <v>10</v>
          </cell>
          <cell r="P66">
            <v>10</v>
          </cell>
          <cell r="Q66">
            <v>10</v>
          </cell>
          <cell r="R66">
            <v>10</v>
          </cell>
        </row>
        <row r="67">
          <cell r="A67" t="str">
            <v>SI1676_20260203</v>
          </cell>
          <cell r="B67" t="str">
            <v>장세래</v>
          </cell>
          <cell r="C67">
            <v>46056</v>
          </cell>
          <cell r="D67" t="str">
            <v>미니슬림쿠션 중용기 사출</v>
          </cell>
          <cell r="F67">
            <v>20</v>
          </cell>
          <cell r="G67">
            <v>20</v>
          </cell>
          <cell r="H67">
            <v>20</v>
          </cell>
          <cell r="I67">
            <v>20</v>
          </cell>
          <cell r="J67">
            <v>5</v>
          </cell>
          <cell r="K67">
            <v>5</v>
          </cell>
          <cell r="L67">
            <v>10</v>
          </cell>
          <cell r="M67">
            <v>15</v>
          </cell>
          <cell r="N67">
            <v>20</v>
          </cell>
          <cell r="O67">
            <v>10</v>
          </cell>
          <cell r="P67">
            <v>10</v>
          </cell>
          <cell r="Q67">
            <v>10</v>
          </cell>
          <cell r="R67">
            <v>10</v>
          </cell>
        </row>
        <row r="68">
          <cell r="A68" t="str">
            <v>SI1673_20260202</v>
          </cell>
          <cell r="B68" t="str">
            <v>장세래</v>
          </cell>
          <cell r="C68">
            <v>46055</v>
          </cell>
          <cell r="D68" t="str">
            <v>미니슬림쿠션 하케이스 사출</v>
          </cell>
          <cell r="F68">
            <v>20</v>
          </cell>
          <cell r="G68">
            <v>20</v>
          </cell>
          <cell r="H68">
            <v>20</v>
          </cell>
          <cell r="I68">
            <v>20</v>
          </cell>
          <cell r="J68">
            <v>5</v>
          </cell>
          <cell r="K68">
            <v>15</v>
          </cell>
          <cell r="L68">
            <v>20</v>
          </cell>
          <cell r="M68">
            <v>25</v>
          </cell>
          <cell r="N68">
            <v>30</v>
          </cell>
          <cell r="O68">
            <v>5</v>
          </cell>
          <cell r="P68">
            <v>5</v>
          </cell>
          <cell r="Q68">
            <v>5</v>
          </cell>
          <cell r="R68">
            <v>5</v>
          </cell>
        </row>
        <row r="69">
          <cell r="A69" t="str">
            <v>SI1672_20260202</v>
          </cell>
          <cell r="B69" t="str">
            <v>장세래</v>
          </cell>
          <cell r="C69">
            <v>46055</v>
          </cell>
          <cell r="D69" t="str">
            <v>미니슬림쿠션 상케이스 사출</v>
          </cell>
          <cell r="F69">
            <v>20</v>
          </cell>
          <cell r="G69">
            <v>20</v>
          </cell>
          <cell r="H69">
            <v>20</v>
          </cell>
          <cell r="I69">
            <v>20</v>
          </cell>
          <cell r="J69">
            <v>5</v>
          </cell>
          <cell r="K69">
            <v>15</v>
          </cell>
          <cell r="L69">
            <v>20</v>
          </cell>
          <cell r="M69">
            <v>25</v>
          </cell>
          <cell r="N69">
            <v>30</v>
          </cell>
          <cell r="O69">
            <v>5</v>
          </cell>
          <cell r="P69">
            <v>5</v>
          </cell>
          <cell r="Q69">
            <v>5</v>
          </cell>
          <cell r="R69">
            <v>5</v>
          </cell>
        </row>
        <row r="70">
          <cell r="A70" t="str">
            <v>SI1675_20260130</v>
          </cell>
          <cell r="B70" t="str">
            <v>장세래</v>
          </cell>
          <cell r="C70">
            <v>46052</v>
          </cell>
          <cell r="D70" t="str">
            <v>미니슬림쿠션 중용기 덮개 사출</v>
          </cell>
          <cell r="F70">
            <v>20</v>
          </cell>
          <cell r="G70">
            <v>20</v>
          </cell>
          <cell r="H70">
            <v>20</v>
          </cell>
          <cell r="I70">
            <v>20</v>
          </cell>
          <cell r="J70">
            <v>5</v>
          </cell>
          <cell r="K70">
            <v>5</v>
          </cell>
          <cell r="L70">
            <v>10</v>
          </cell>
          <cell r="M70">
            <v>15</v>
          </cell>
          <cell r="N70">
            <v>20</v>
          </cell>
          <cell r="O70">
            <v>5</v>
          </cell>
          <cell r="P70">
            <v>5</v>
          </cell>
          <cell r="Q70">
            <v>5</v>
          </cell>
          <cell r="R70">
            <v>5</v>
          </cell>
        </row>
        <row r="71">
          <cell r="A71" t="str">
            <v>SI1676_20260130</v>
          </cell>
          <cell r="B71" t="str">
            <v>장세래</v>
          </cell>
          <cell r="C71">
            <v>46052</v>
          </cell>
          <cell r="D71" t="str">
            <v>미니슬림쿠션 중용기 사출</v>
          </cell>
          <cell r="F71">
            <v>20</v>
          </cell>
          <cell r="G71">
            <v>20</v>
          </cell>
          <cell r="H71">
            <v>20</v>
          </cell>
          <cell r="I71">
            <v>20</v>
          </cell>
          <cell r="J71">
            <v>5</v>
          </cell>
          <cell r="K71">
            <v>5</v>
          </cell>
          <cell r="L71">
            <v>10</v>
          </cell>
          <cell r="M71">
            <v>15</v>
          </cell>
          <cell r="N71">
            <v>20</v>
          </cell>
          <cell r="O71">
            <v>5</v>
          </cell>
          <cell r="P71">
            <v>5</v>
          </cell>
          <cell r="Q71">
            <v>5</v>
          </cell>
          <cell r="R71">
            <v>5</v>
          </cell>
        </row>
        <row r="72">
          <cell r="A72" t="str">
            <v>SI1629_20260128</v>
          </cell>
          <cell r="B72" t="str">
            <v>한창구</v>
          </cell>
          <cell r="C72">
            <v>46050</v>
          </cell>
          <cell r="D72" t="str">
            <v>설화수 진설명작크림 (견) 10ML (AD 사출덮개</v>
          </cell>
          <cell r="F72">
            <v>100</v>
          </cell>
          <cell r="G72">
            <v>100</v>
          </cell>
          <cell r="H72">
            <v>100</v>
          </cell>
          <cell r="J72">
            <v>8</v>
          </cell>
          <cell r="K72">
            <v>10</v>
          </cell>
          <cell r="L72">
            <v>40</v>
          </cell>
          <cell r="M72">
            <v>50</v>
          </cell>
          <cell r="O72">
            <v>8</v>
          </cell>
          <cell r="P72">
            <v>8</v>
          </cell>
          <cell r="Q72">
            <v>5</v>
          </cell>
        </row>
        <row r="73">
          <cell r="A73" t="str">
            <v>SI1671_20260126</v>
          </cell>
          <cell r="B73" t="str">
            <v>유재호</v>
          </cell>
          <cell r="C73">
            <v>46048</v>
          </cell>
          <cell r="D73" t="str">
            <v>마몽드 어메이징딥 민트클렌징밤 90ml(26AD 단용기 사출</v>
          </cell>
          <cell r="F73">
            <v>20</v>
          </cell>
          <cell r="G73">
            <v>20</v>
          </cell>
          <cell r="H73">
            <v>20</v>
          </cell>
          <cell r="I73">
            <v>20</v>
          </cell>
          <cell r="K73">
            <v>10</v>
          </cell>
          <cell r="L73">
            <v>40</v>
          </cell>
          <cell r="M73">
            <v>115</v>
          </cell>
          <cell r="N73">
            <v>130</v>
          </cell>
          <cell r="O73">
            <v>10</v>
          </cell>
          <cell r="P73">
            <v>10</v>
          </cell>
          <cell r="Q73">
            <v>10</v>
          </cell>
          <cell r="R73">
            <v>10</v>
          </cell>
        </row>
        <row r="74">
          <cell r="A74" t="str">
            <v>SI1673_20260123</v>
          </cell>
          <cell r="B74" t="str">
            <v>장세래</v>
          </cell>
          <cell r="C74">
            <v>46045</v>
          </cell>
          <cell r="D74" t="str">
            <v>미니슬림쿠션 하케이스 사출</v>
          </cell>
          <cell r="F74">
            <v>20</v>
          </cell>
          <cell r="G74">
            <v>20</v>
          </cell>
          <cell r="H74">
            <v>20</v>
          </cell>
          <cell r="I74">
            <v>20</v>
          </cell>
          <cell r="K74">
            <v>10</v>
          </cell>
          <cell r="L74">
            <v>20</v>
          </cell>
          <cell r="M74">
            <v>25</v>
          </cell>
          <cell r="N74">
            <v>30</v>
          </cell>
          <cell r="O74">
            <v>10</v>
          </cell>
          <cell r="P74">
            <v>10</v>
          </cell>
          <cell r="Q74">
            <v>10</v>
          </cell>
          <cell r="R74">
            <v>2</v>
          </cell>
        </row>
        <row r="75">
          <cell r="A75" t="str">
            <v>SI1672_20260123</v>
          </cell>
          <cell r="B75" t="str">
            <v>장세래</v>
          </cell>
          <cell r="C75">
            <v>46045</v>
          </cell>
          <cell r="D75" t="str">
            <v>미니슬림쿠션 상케이스 사출</v>
          </cell>
          <cell r="F75">
            <v>20</v>
          </cell>
          <cell r="G75">
            <v>20</v>
          </cell>
          <cell r="H75">
            <v>20</v>
          </cell>
          <cell r="I75">
            <v>20</v>
          </cell>
          <cell r="J75">
            <v>3</v>
          </cell>
          <cell r="K75">
            <v>10</v>
          </cell>
          <cell r="L75">
            <v>25</v>
          </cell>
          <cell r="M75">
            <v>28</v>
          </cell>
          <cell r="N75">
            <v>30</v>
          </cell>
          <cell r="O75">
            <v>10</v>
          </cell>
          <cell r="P75">
            <v>10</v>
          </cell>
          <cell r="Q75">
            <v>10</v>
          </cell>
          <cell r="R75">
            <v>5</v>
          </cell>
        </row>
        <row r="76">
          <cell r="A76" t="str">
            <v>SI1675_20260123</v>
          </cell>
          <cell r="B76" t="str">
            <v>장세래</v>
          </cell>
          <cell r="C76">
            <v>46045</v>
          </cell>
          <cell r="D76" t="str">
            <v>미니슬림쿠션 중용기 덮개 사출</v>
          </cell>
          <cell r="F76">
            <v>20</v>
          </cell>
          <cell r="G76">
            <v>20</v>
          </cell>
          <cell r="H76">
            <v>20</v>
          </cell>
          <cell r="I76">
            <v>20</v>
          </cell>
          <cell r="J76">
            <v>5</v>
          </cell>
          <cell r="K76">
            <v>10</v>
          </cell>
          <cell r="L76">
            <v>20</v>
          </cell>
          <cell r="M76">
            <v>25</v>
          </cell>
          <cell r="N76">
            <v>30</v>
          </cell>
          <cell r="O76">
            <v>5</v>
          </cell>
          <cell r="P76">
            <v>10</v>
          </cell>
          <cell r="Q76">
            <v>10</v>
          </cell>
          <cell r="R76">
            <v>5</v>
          </cell>
        </row>
        <row r="77">
          <cell r="A77" t="str">
            <v>SI1625_20260123</v>
          </cell>
          <cell r="B77" t="str">
            <v>한창구</v>
          </cell>
          <cell r="C77">
            <v>46045</v>
          </cell>
          <cell r="D77" t="str">
            <v>설화수 진설명작크림 (견) 10ML (AD 외캡</v>
          </cell>
          <cell r="F77">
            <v>60</v>
          </cell>
          <cell r="G77">
            <v>60</v>
          </cell>
          <cell r="H77">
            <v>60</v>
          </cell>
          <cell r="J77">
            <v>5</v>
          </cell>
          <cell r="K77">
            <v>10</v>
          </cell>
          <cell r="L77">
            <v>75</v>
          </cell>
          <cell r="M77">
            <v>80</v>
          </cell>
          <cell r="O77">
            <v>15</v>
          </cell>
          <cell r="P77">
            <v>25</v>
          </cell>
          <cell r="Q77">
            <v>15</v>
          </cell>
        </row>
        <row r="78">
          <cell r="A78" t="str">
            <v>SI1627_20260120</v>
          </cell>
          <cell r="B78" t="str">
            <v>한창구</v>
          </cell>
          <cell r="C78">
            <v>46042</v>
          </cell>
          <cell r="D78" t="str">
            <v>설화수 진설명작크림 (견) 10ML (AD 용기받침</v>
          </cell>
          <cell r="F78">
            <v>40</v>
          </cell>
          <cell r="G78">
            <v>40</v>
          </cell>
          <cell r="H78">
            <v>40</v>
          </cell>
          <cell r="I78">
            <v>40</v>
          </cell>
          <cell r="J78">
            <v>5</v>
          </cell>
          <cell r="K78">
            <v>20</v>
          </cell>
          <cell r="L78">
            <v>30</v>
          </cell>
          <cell r="M78">
            <v>60</v>
          </cell>
          <cell r="N78">
            <v>70</v>
          </cell>
          <cell r="O78">
            <v>8</v>
          </cell>
          <cell r="P78">
            <v>8</v>
          </cell>
          <cell r="Q78">
            <v>8</v>
          </cell>
          <cell r="R78">
            <v>5</v>
          </cell>
        </row>
        <row r="79">
          <cell r="A79" t="str">
            <v>SI1614_20260116</v>
          </cell>
          <cell r="B79" t="str">
            <v>한창구</v>
          </cell>
          <cell r="C79">
            <v>46038</v>
          </cell>
          <cell r="D79" t="str">
            <v>설화수 진설명작크림 60ML (26AD 내캡</v>
          </cell>
          <cell r="F79">
            <v>100</v>
          </cell>
          <cell r="G79">
            <v>100</v>
          </cell>
          <cell r="H79">
            <v>100</v>
          </cell>
          <cell r="J79">
            <v>6</v>
          </cell>
          <cell r="K79">
            <v>30</v>
          </cell>
          <cell r="L79">
            <v>50</v>
          </cell>
          <cell r="M79">
            <v>80</v>
          </cell>
          <cell r="O79">
            <v>10</v>
          </cell>
          <cell r="P79">
            <v>10</v>
          </cell>
          <cell r="Q79">
            <v>5</v>
          </cell>
        </row>
        <row r="80">
          <cell r="A80" t="str">
            <v>SI1674_20260113</v>
          </cell>
          <cell r="B80" t="str">
            <v>장세래</v>
          </cell>
          <cell r="C80">
            <v>46035</v>
          </cell>
          <cell r="D80" t="str">
            <v>미니슬림쿠션 접시 사출</v>
          </cell>
          <cell r="F80">
            <v>50</v>
          </cell>
          <cell r="G80">
            <v>50</v>
          </cell>
          <cell r="H80">
            <v>50</v>
          </cell>
          <cell r="I80">
            <v>50</v>
          </cell>
          <cell r="J80">
            <v>5</v>
          </cell>
          <cell r="K80">
            <v>25</v>
          </cell>
          <cell r="L80">
            <v>30</v>
          </cell>
          <cell r="M80">
            <v>35</v>
          </cell>
          <cell r="N80">
            <v>40</v>
          </cell>
          <cell r="O80">
            <v>5</v>
          </cell>
          <cell r="P80">
            <v>5</v>
          </cell>
          <cell r="Q80">
            <v>5</v>
          </cell>
          <cell r="R80">
            <v>5</v>
          </cell>
        </row>
        <row r="81">
          <cell r="A81" t="str">
            <v>SI1673_20260113</v>
          </cell>
          <cell r="B81" t="str">
            <v>장세래</v>
          </cell>
          <cell r="C81">
            <v>46035</v>
          </cell>
          <cell r="D81" t="str">
            <v>미니슬림쿠션 하케이스 사출</v>
          </cell>
          <cell r="F81">
            <v>50</v>
          </cell>
          <cell r="G81">
            <v>50</v>
          </cell>
          <cell r="H81">
            <v>50</v>
          </cell>
          <cell r="I81">
            <v>50</v>
          </cell>
          <cell r="J81">
            <v>5</v>
          </cell>
          <cell r="K81">
            <v>10</v>
          </cell>
          <cell r="L81">
            <v>20</v>
          </cell>
          <cell r="M81">
            <v>30</v>
          </cell>
          <cell r="N81">
            <v>40</v>
          </cell>
          <cell r="O81">
            <v>10</v>
          </cell>
          <cell r="P81">
            <v>10</v>
          </cell>
          <cell r="Q81">
            <v>10</v>
          </cell>
          <cell r="R81">
            <v>10</v>
          </cell>
        </row>
        <row r="82">
          <cell r="A82" t="str">
            <v>SI1672_20260113</v>
          </cell>
          <cell r="B82" t="str">
            <v>장세래</v>
          </cell>
          <cell r="C82">
            <v>46035</v>
          </cell>
          <cell r="D82" t="str">
            <v>미니슬림쿠션 상케이스 사출</v>
          </cell>
          <cell r="F82">
            <v>20</v>
          </cell>
          <cell r="G82">
            <v>20</v>
          </cell>
          <cell r="H82">
            <v>20</v>
          </cell>
          <cell r="I82">
            <v>20</v>
          </cell>
          <cell r="J82">
            <v>5</v>
          </cell>
          <cell r="K82">
            <v>10</v>
          </cell>
          <cell r="L82">
            <v>20</v>
          </cell>
          <cell r="M82">
            <v>30</v>
          </cell>
          <cell r="N82">
            <v>40</v>
          </cell>
          <cell r="O82">
            <v>10</v>
          </cell>
          <cell r="P82">
            <v>10</v>
          </cell>
          <cell r="Q82">
            <v>10</v>
          </cell>
          <cell r="R82">
            <v>10</v>
          </cell>
        </row>
        <row r="83">
          <cell r="A83" t="str">
            <v>SI1669_20251218</v>
          </cell>
          <cell r="B83" t="str">
            <v>한창구</v>
          </cell>
          <cell r="C83">
            <v>46009</v>
          </cell>
          <cell r="D83" t="str">
            <v>마몽드 어메이징딥 민트클렌징밤 90ml(26AD 스파출러대 사출</v>
          </cell>
          <cell r="F83">
            <v>90</v>
          </cell>
          <cell r="G83">
            <v>90</v>
          </cell>
          <cell r="H83">
            <v>90</v>
          </cell>
          <cell r="J83">
            <v>6</v>
          </cell>
          <cell r="K83">
            <v>20</v>
          </cell>
          <cell r="L83">
            <v>45</v>
          </cell>
          <cell r="M83">
            <v>60</v>
          </cell>
          <cell r="O83">
            <v>20</v>
          </cell>
          <cell r="P83">
            <v>20</v>
          </cell>
          <cell r="Q83">
            <v>15</v>
          </cell>
        </row>
        <row r="84">
          <cell r="A84" t="str">
            <v>SI1669_20260113</v>
          </cell>
          <cell r="B84" t="str">
            <v>남기갑</v>
          </cell>
          <cell r="C84">
            <v>46035</v>
          </cell>
          <cell r="D84" t="str">
            <v>마몽드 어메이징딥 민트클렌징밤 90ml(26AD 스파출러대 사출</v>
          </cell>
          <cell r="G84">
            <v>35</v>
          </cell>
          <cell r="H84">
            <v>35</v>
          </cell>
          <cell r="I84">
            <v>35</v>
          </cell>
          <cell r="J84">
            <v>5</v>
          </cell>
          <cell r="L84">
            <v>40</v>
          </cell>
          <cell r="M84">
            <v>55</v>
          </cell>
          <cell r="N84">
            <v>60</v>
          </cell>
          <cell r="P84">
            <v>10</v>
          </cell>
          <cell r="Q84">
            <v>15</v>
          </cell>
          <cell r="R84">
            <v>10</v>
          </cell>
        </row>
        <row r="85">
          <cell r="A85" t="str">
            <v>SI1668_20260112</v>
          </cell>
          <cell r="B85" t="str">
            <v>유재호</v>
          </cell>
          <cell r="C85">
            <v>46034</v>
          </cell>
          <cell r="D85" t="str">
            <v>마몽드 어메이징딥 민트클렌징밤 90ml(26AD 원터치단캡 사출</v>
          </cell>
          <cell r="F85">
            <v>40</v>
          </cell>
          <cell r="G85">
            <v>40</v>
          </cell>
          <cell r="H85">
            <v>40</v>
          </cell>
          <cell r="I85">
            <v>40</v>
          </cell>
          <cell r="J85">
            <v>5</v>
          </cell>
          <cell r="K85">
            <v>50</v>
          </cell>
          <cell r="L85">
            <v>60</v>
          </cell>
          <cell r="M85">
            <v>80</v>
          </cell>
          <cell r="N85">
            <v>10</v>
          </cell>
          <cell r="O85">
            <v>5</v>
          </cell>
          <cell r="P85">
            <v>5</v>
          </cell>
          <cell r="Q85">
            <v>5</v>
          </cell>
          <cell r="R85">
            <v>5</v>
          </cell>
        </row>
        <row r="86">
          <cell r="A86" t="str">
            <v>SI1671_20260112</v>
          </cell>
          <cell r="B86" t="str">
            <v>장세래</v>
          </cell>
          <cell r="C86">
            <v>46034</v>
          </cell>
          <cell r="D86" t="str">
            <v>마몽드 어메이징딥 민트클렌징밤 90ml(26AD 단용기 사출</v>
          </cell>
          <cell r="F86">
            <v>50</v>
          </cell>
          <cell r="G86">
            <v>50</v>
          </cell>
          <cell r="H86">
            <v>50</v>
          </cell>
          <cell r="I86">
            <v>50</v>
          </cell>
          <cell r="K86">
            <v>40</v>
          </cell>
          <cell r="L86">
            <v>100</v>
          </cell>
          <cell r="M86">
            <v>170</v>
          </cell>
          <cell r="N86">
            <v>180</v>
          </cell>
        </row>
        <row r="87">
          <cell r="A87" t="str">
            <v>SI1661_20251225</v>
          </cell>
          <cell r="B87" t="str">
            <v>장세래</v>
          </cell>
          <cell r="C87">
            <v>46016</v>
          </cell>
          <cell r="D87" t="str">
            <v>해피바스 달잠 밀키라벤더 바디로션500g+괄사단품기획(OY 마사져대 사출</v>
          </cell>
          <cell r="F87">
            <v>50</v>
          </cell>
          <cell r="G87">
            <v>50</v>
          </cell>
          <cell r="H87">
            <v>50</v>
          </cell>
          <cell r="I87">
            <v>50</v>
          </cell>
          <cell r="K87">
            <v>40</v>
          </cell>
          <cell r="L87">
            <v>50</v>
          </cell>
          <cell r="M87">
            <v>100</v>
          </cell>
          <cell r="N87">
            <v>120</v>
          </cell>
          <cell r="O87">
            <v>10</v>
          </cell>
          <cell r="P87">
            <v>10</v>
          </cell>
          <cell r="Q87">
            <v>10</v>
          </cell>
          <cell r="R87">
            <v>10</v>
          </cell>
        </row>
        <row r="88">
          <cell r="A88" t="str">
            <v>SI1626_20251223</v>
          </cell>
          <cell r="B88" t="str">
            <v>유재호</v>
          </cell>
          <cell r="C88">
            <v>46014</v>
          </cell>
          <cell r="D88" t="str">
            <v>설화수 진설명작크림 (견) 10ML (AD 내캡</v>
          </cell>
          <cell r="F88">
            <v>35</v>
          </cell>
          <cell r="G88">
            <v>35</v>
          </cell>
          <cell r="H88">
            <v>35</v>
          </cell>
          <cell r="I88">
            <v>35</v>
          </cell>
          <cell r="K88">
            <v>20</v>
          </cell>
          <cell r="L88">
            <v>30</v>
          </cell>
          <cell r="M88">
            <v>40</v>
          </cell>
          <cell r="N88">
            <v>60</v>
          </cell>
          <cell r="O88">
            <v>5</v>
          </cell>
          <cell r="P88">
            <v>5</v>
          </cell>
          <cell r="Q88">
            <v>5</v>
          </cell>
          <cell r="R88">
            <v>5</v>
          </cell>
        </row>
        <row r="89">
          <cell r="A89" t="str">
            <v>SI1631_20251223</v>
          </cell>
          <cell r="B89" t="str">
            <v>유재호</v>
          </cell>
          <cell r="C89">
            <v>46014</v>
          </cell>
          <cell r="D89" t="str">
            <v>설화수 진설명작크림 (견) 5ML (AD 내캡</v>
          </cell>
          <cell r="F89">
            <v>35</v>
          </cell>
          <cell r="G89">
            <v>35</v>
          </cell>
          <cell r="H89">
            <v>35</v>
          </cell>
          <cell r="I89">
            <v>35</v>
          </cell>
          <cell r="J89">
            <v>6</v>
          </cell>
          <cell r="K89">
            <v>20</v>
          </cell>
          <cell r="L89">
            <v>30</v>
          </cell>
          <cell r="M89">
            <v>40</v>
          </cell>
          <cell r="N89">
            <v>60</v>
          </cell>
          <cell r="O89">
            <v>5</v>
          </cell>
          <cell r="P89">
            <v>5</v>
          </cell>
          <cell r="Q89">
            <v>5</v>
          </cell>
          <cell r="R89">
            <v>5</v>
          </cell>
        </row>
        <row r="90">
          <cell r="A90" t="str">
            <v>SI1671_20251222</v>
          </cell>
          <cell r="B90" t="str">
            <v>장세래</v>
          </cell>
          <cell r="C90">
            <v>46013</v>
          </cell>
          <cell r="D90" t="str">
            <v>마몽드 어메이징딥 민트클렌징밤 90ml(26AD 단용기 사출</v>
          </cell>
          <cell r="F90">
            <v>20</v>
          </cell>
          <cell r="G90">
            <v>20</v>
          </cell>
          <cell r="H90">
            <v>20</v>
          </cell>
          <cell r="I90">
            <v>20</v>
          </cell>
          <cell r="K90">
            <v>20</v>
          </cell>
          <cell r="L90">
            <v>40</v>
          </cell>
          <cell r="M90">
            <v>125</v>
          </cell>
          <cell r="N90">
            <v>130</v>
          </cell>
          <cell r="O90">
            <v>10</v>
          </cell>
          <cell r="P90">
            <v>10</v>
          </cell>
          <cell r="Q90">
            <v>10</v>
          </cell>
          <cell r="R90">
            <v>10</v>
          </cell>
        </row>
        <row r="91">
          <cell r="A91" t="str">
            <v>SI1670_20251218</v>
          </cell>
          <cell r="B91" t="str">
            <v>유재호</v>
          </cell>
          <cell r="C91">
            <v>46009</v>
          </cell>
          <cell r="D91" t="str">
            <v>마몽드 어메이징딥 민트클렌징밤 90ml(26AD 사출덮개 사출</v>
          </cell>
          <cell r="J91">
            <v>5</v>
          </cell>
          <cell r="K91">
            <v>10</v>
          </cell>
          <cell r="L91">
            <v>20</v>
          </cell>
          <cell r="M91">
            <v>30</v>
          </cell>
          <cell r="N91">
            <v>60</v>
          </cell>
          <cell r="O91">
            <v>5</v>
          </cell>
          <cell r="P91">
            <v>5</v>
          </cell>
          <cell r="Q91">
            <v>5</v>
          </cell>
          <cell r="R91">
            <v>5</v>
          </cell>
        </row>
        <row r="92">
          <cell r="A92" t="str">
            <v>SI1616_20251215</v>
          </cell>
          <cell r="B92">
            <v>0</v>
          </cell>
          <cell r="C92">
            <v>46006</v>
          </cell>
          <cell r="D92" t="str">
            <v>설화수 진설명작크림 60ML (26AD 사출덮개</v>
          </cell>
          <cell r="G92">
            <v>35</v>
          </cell>
          <cell r="H92">
            <v>35</v>
          </cell>
          <cell r="I92">
            <v>35</v>
          </cell>
          <cell r="J92">
            <v>4</v>
          </cell>
          <cell r="L92">
            <v>10</v>
          </cell>
          <cell r="M92">
            <v>25</v>
          </cell>
          <cell r="N92">
            <v>30</v>
          </cell>
          <cell r="P92">
            <v>5</v>
          </cell>
          <cell r="Q92">
            <v>5</v>
          </cell>
          <cell r="R92">
            <v>5</v>
          </cell>
        </row>
        <row r="93">
          <cell r="A93" t="str">
            <v>SI1669_20251209</v>
          </cell>
          <cell r="B93" t="str">
            <v>장세래</v>
          </cell>
          <cell r="C93">
            <v>46000</v>
          </cell>
          <cell r="D93" t="str">
            <v>마몽드 어메이징딥 민트클렌징밤 90ml(26AD 스파출러대 사출</v>
          </cell>
          <cell r="F93">
            <v>50</v>
          </cell>
          <cell r="G93">
            <v>50</v>
          </cell>
          <cell r="H93">
            <v>50</v>
          </cell>
          <cell r="I93">
            <v>50</v>
          </cell>
          <cell r="J93">
            <v>5</v>
          </cell>
          <cell r="K93">
            <v>30</v>
          </cell>
          <cell r="L93">
            <v>45</v>
          </cell>
          <cell r="M93">
            <v>55</v>
          </cell>
          <cell r="N93">
            <v>60</v>
          </cell>
          <cell r="O93">
            <v>20</v>
          </cell>
          <cell r="P93">
            <v>20</v>
          </cell>
          <cell r="Q93">
            <v>20</v>
          </cell>
          <cell r="R93">
            <v>15</v>
          </cell>
        </row>
        <row r="94">
          <cell r="A94" t="str">
            <v>SI1670_20251205</v>
          </cell>
          <cell r="B94" t="str">
            <v>유재호</v>
          </cell>
          <cell r="C94">
            <v>45996</v>
          </cell>
          <cell r="D94" t="str">
            <v>마몽드 어메이징딥 민트클렌징밤 90ml(26AD 사출덮개 사출</v>
          </cell>
          <cell r="F94">
            <v>130</v>
          </cell>
          <cell r="G94">
            <v>130</v>
          </cell>
          <cell r="H94">
            <v>130</v>
          </cell>
          <cell r="I94">
            <v>130</v>
          </cell>
          <cell r="J94">
            <v>5</v>
          </cell>
          <cell r="L94">
            <v>20</v>
          </cell>
          <cell r="M94">
            <v>40</v>
          </cell>
          <cell r="N94">
            <v>70</v>
          </cell>
          <cell r="P94">
            <v>5</v>
          </cell>
          <cell r="Q94">
            <v>5</v>
          </cell>
          <cell r="R94">
            <v>3</v>
          </cell>
        </row>
        <row r="95">
          <cell r="A95" t="str">
            <v>SI1671_20251203</v>
          </cell>
          <cell r="B95" t="str">
            <v>장세래</v>
          </cell>
          <cell r="C95">
            <v>45994</v>
          </cell>
          <cell r="D95" t="str">
            <v>마몽드 어메이징딥 민트클렌징밤 90ml(26AD 단용기 사출</v>
          </cell>
          <cell r="F95">
            <v>20</v>
          </cell>
          <cell r="G95">
            <v>20</v>
          </cell>
          <cell r="H95">
            <v>20</v>
          </cell>
          <cell r="I95">
            <v>20</v>
          </cell>
          <cell r="K95">
            <v>20</v>
          </cell>
          <cell r="L95">
            <v>40</v>
          </cell>
          <cell r="M95">
            <v>110</v>
          </cell>
          <cell r="N95">
            <v>130</v>
          </cell>
          <cell r="O95">
            <v>10</v>
          </cell>
          <cell r="P95">
            <v>10</v>
          </cell>
          <cell r="Q95">
            <v>10</v>
          </cell>
          <cell r="R95">
            <v>10</v>
          </cell>
        </row>
        <row r="96">
          <cell r="A96" t="str">
            <v>SI1668_20251203</v>
          </cell>
          <cell r="B96" t="str">
            <v>장세래</v>
          </cell>
          <cell r="C96">
            <v>45994</v>
          </cell>
          <cell r="D96" t="str">
            <v>마몽드 어메이징딥 민트클렌징밤 90ml(26AD 원터치단캡 사출</v>
          </cell>
          <cell r="F96">
            <v>20</v>
          </cell>
          <cell r="G96">
            <v>20</v>
          </cell>
          <cell r="H96">
            <v>20</v>
          </cell>
          <cell r="I96">
            <v>20</v>
          </cell>
          <cell r="J96">
            <v>5</v>
          </cell>
          <cell r="K96">
            <v>30</v>
          </cell>
          <cell r="L96">
            <v>40</v>
          </cell>
          <cell r="M96">
            <v>75</v>
          </cell>
          <cell r="N96">
            <v>80</v>
          </cell>
          <cell r="O96">
            <v>5</v>
          </cell>
          <cell r="P96">
            <v>10</v>
          </cell>
          <cell r="Q96">
            <v>10</v>
          </cell>
          <cell r="R96">
            <v>5</v>
          </cell>
        </row>
        <row r="97">
          <cell r="A97" t="str">
            <v>SI1669_20251124</v>
          </cell>
          <cell r="B97" t="str">
            <v>유재호</v>
          </cell>
          <cell r="C97">
            <v>45985</v>
          </cell>
          <cell r="D97" t="str">
            <v>마몽드 어메이징딥 민트클렌징밤 90ml(26AD 스파출러대 사출</v>
          </cell>
          <cell r="F97">
            <v>90</v>
          </cell>
          <cell r="G97">
            <v>90</v>
          </cell>
          <cell r="H97">
            <v>90</v>
          </cell>
          <cell r="I97">
            <v>90</v>
          </cell>
          <cell r="J97">
            <v>6</v>
          </cell>
          <cell r="K97">
            <v>10</v>
          </cell>
          <cell r="L97">
            <v>20</v>
          </cell>
          <cell r="M97">
            <v>45</v>
          </cell>
          <cell r="N97">
            <v>60</v>
          </cell>
          <cell r="P97">
            <v>20</v>
          </cell>
          <cell r="Q97">
            <v>20</v>
          </cell>
          <cell r="R97">
            <v>15</v>
          </cell>
        </row>
        <row r="98">
          <cell r="A98" t="str">
            <v>SI1617_20251121</v>
          </cell>
          <cell r="B98" t="str">
            <v>장세래</v>
          </cell>
          <cell r="C98">
            <v>45982</v>
          </cell>
          <cell r="D98" t="str">
            <v>설화수 진설명작크림 60ML (26AD 중용기</v>
          </cell>
          <cell r="F98">
            <v>50</v>
          </cell>
          <cell r="G98">
            <v>50</v>
          </cell>
          <cell r="H98">
            <v>50</v>
          </cell>
          <cell r="I98">
            <v>50</v>
          </cell>
          <cell r="J98">
            <v>5</v>
          </cell>
          <cell r="K98">
            <v>20</v>
          </cell>
          <cell r="L98">
            <v>30</v>
          </cell>
          <cell r="M98">
            <v>45</v>
          </cell>
          <cell r="N98">
            <v>50</v>
          </cell>
          <cell r="O98">
            <v>10</v>
          </cell>
          <cell r="P98">
            <v>10</v>
          </cell>
          <cell r="Q98">
            <v>10</v>
          </cell>
          <cell r="R98">
            <v>10</v>
          </cell>
        </row>
        <row r="99">
          <cell r="A99" t="str">
            <v>SI1620_20251121</v>
          </cell>
          <cell r="B99" t="str">
            <v>장세래</v>
          </cell>
          <cell r="C99">
            <v>45982</v>
          </cell>
          <cell r="D99" t="str">
            <v>설화수 진설명작크림 60ML (26AD 용기받침 사출</v>
          </cell>
          <cell r="F99">
            <v>100</v>
          </cell>
          <cell r="G99">
            <v>100</v>
          </cell>
          <cell r="H99">
            <v>100</v>
          </cell>
          <cell r="I99">
            <v>100</v>
          </cell>
          <cell r="J99">
            <v>5</v>
          </cell>
          <cell r="K99">
            <v>20</v>
          </cell>
          <cell r="L99">
            <v>30</v>
          </cell>
          <cell r="M99">
            <v>55</v>
          </cell>
          <cell r="N99">
            <v>60</v>
          </cell>
          <cell r="O99">
            <v>10</v>
          </cell>
          <cell r="P99">
            <v>10</v>
          </cell>
          <cell r="Q99">
            <v>10</v>
          </cell>
          <cell r="R99">
            <v>10</v>
          </cell>
        </row>
        <row r="100">
          <cell r="A100" t="str">
            <v>SI1628_20251121</v>
          </cell>
          <cell r="B100" t="str">
            <v>이종운</v>
          </cell>
          <cell r="C100">
            <v>45982</v>
          </cell>
          <cell r="D100" t="str">
            <v>설화수 진설명작크림 (견) 10ML (AD 단용기</v>
          </cell>
          <cell r="F100">
            <v>100</v>
          </cell>
          <cell r="G100">
            <v>100</v>
          </cell>
          <cell r="H100">
            <v>100</v>
          </cell>
          <cell r="J100">
            <v>5</v>
          </cell>
          <cell r="K100">
            <v>30</v>
          </cell>
          <cell r="L100">
            <v>75</v>
          </cell>
          <cell r="M100">
            <v>80</v>
          </cell>
          <cell r="O100">
            <v>10</v>
          </cell>
          <cell r="P100">
            <v>10</v>
          </cell>
          <cell r="Q100">
            <v>5</v>
          </cell>
        </row>
        <row r="101">
          <cell r="A101" t="str">
            <v>SI1632_20251121</v>
          </cell>
          <cell r="B101" t="str">
            <v>이종운</v>
          </cell>
          <cell r="C101">
            <v>45982</v>
          </cell>
          <cell r="D101" t="str">
            <v>설화수 진설명작크림 (견) 5ML (AD 단용기</v>
          </cell>
          <cell r="F101">
            <v>100</v>
          </cell>
          <cell r="G101">
            <v>100</v>
          </cell>
          <cell r="H101">
            <v>100</v>
          </cell>
          <cell r="J101">
            <v>5</v>
          </cell>
          <cell r="L101">
            <v>30</v>
          </cell>
          <cell r="M101">
            <v>65</v>
          </cell>
          <cell r="N101">
            <v>70</v>
          </cell>
          <cell r="P101">
            <v>10</v>
          </cell>
          <cell r="Q101">
            <v>10</v>
          </cell>
          <cell r="R101">
            <v>5</v>
          </cell>
        </row>
        <row r="102">
          <cell r="A102" t="str">
            <v>SI1618_20251119</v>
          </cell>
          <cell r="B102" t="str">
            <v>한창구</v>
          </cell>
          <cell r="C102">
            <v>45980</v>
          </cell>
          <cell r="D102" t="str">
            <v>설화수 진설명작크림 60ML (26AD 내용기</v>
          </cell>
          <cell r="F102">
            <v>100</v>
          </cell>
          <cell r="G102">
            <v>100</v>
          </cell>
          <cell r="H102">
            <v>100</v>
          </cell>
          <cell r="J102">
            <v>5</v>
          </cell>
          <cell r="K102">
            <v>10</v>
          </cell>
          <cell r="L102">
            <v>55</v>
          </cell>
          <cell r="M102">
            <v>60</v>
          </cell>
          <cell r="O102">
            <v>10</v>
          </cell>
          <cell r="P102">
            <v>10</v>
          </cell>
          <cell r="Q102">
            <v>5</v>
          </cell>
        </row>
        <row r="103">
          <cell r="A103" t="str">
            <v>SI1614_20251119</v>
          </cell>
          <cell r="B103" t="str">
            <v>한창구</v>
          </cell>
          <cell r="C103">
            <v>45980</v>
          </cell>
          <cell r="D103" t="str">
            <v>설화수 진설명작크림 60ML (26AD 내캡</v>
          </cell>
          <cell r="F103">
            <v>100</v>
          </cell>
          <cell r="G103">
            <v>100</v>
          </cell>
          <cell r="H103">
            <v>100</v>
          </cell>
          <cell r="J103">
            <v>5</v>
          </cell>
          <cell r="K103">
            <v>30</v>
          </cell>
          <cell r="L103">
            <v>75</v>
          </cell>
          <cell r="M103">
            <v>80</v>
          </cell>
          <cell r="O103">
            <v>10</v>
          </cell>
          <cell r="P103">
            <v>10</v>
          </cell>
          <cell r="Q103">
            <v>5</v>
          </cell>
        </row>
        <row r="104">
          <cell r="A104" t="str">
            <v>SI1653_20251114</v>
          </cell>
          <cell r="B104" t="str">
            <v>유재호</v>
          </cell>
          <cell r="C104">
            <v>45975</v>
          </cell>
          <cell r="D104" t="str">
            <v>홀리추얼 울트라 너리싱 아이크림 30ML 중캡</v>
          </cell>
          <cell r="F104">
            <v>50</v>
          </cell>
          <cell r="G104">
            <v>50</v>
          </cell>
          <cell r="H104">
            <v>50</v>
          </cell>
          <cell r="I104">
            <v>50</v>
          </cell>
          <cell r="J104">
            <v>4</v>
          </cell>
          <cell r="K104">
            <v>10</v>
          </cell>
          <cell r="L104">
            <v>20</v>
          </cell>
          <cell r="M104">
            <v>30</v>
          </cell>
          <cell r="N104">
            <v>40</v>
          </cell>
          <cell r="O104">
            <v>15</v>
          </cell>
          <cell r="P104">
            <v>15</v>
          </cell>
          <cell r="Q104">
            <v>15</v>
          </cell>
          <cell r="R104">
            <v>10</v>
          </cell>
        </row>
        <row r="105">
          <cell r="A105" t="str">
            <v>SI1654_20251111</v>
          </cell>
          <cell r="B105" t="str">
            <v>장세래</v>
          </cell>
          <cell r="C105">
            <v>45972</v>
          </cell>
          <cell r="D105" t="str">
            <v>홀리추얼 울트라 너리싱 아이크림 30ML 내캡</v>
          </cell>
          <cell r="F105">
            <v>100</v>
          </cell>
          <cell r="G105">
            <v>100</v>
          </cell>
          <cell r="H105">
            <v>100</v>
          </cell>
          <cell r="I105">
            <v>100</v>
          </cell>
          <cell r="J105">
            <v>5</v>
          </cell>
          <cell r="K105">
            <v>20</v>
          </cell>
          <cell r="L105">
            <v>35</v>
          </cell>
          <cell r="M105">
            <v>45</v>
          </cell>
          <cell r="N105">
            <v>50</v>
          </cell>
          <cell r="O105">
            <v>5</v>
          </cell>
          <cell r="P105">
            <v>5</v>
          </cell>
          <cell r="Q105">
            <v>5</v>
          </cell>
          <cell r="R105">
            <v>5</v>
          </cell>
        </row>
        <row r="106">
          <cell r="A106" t="str">
            <v>SI1622_20251110</v>
          </cell>
          <cell r="B106" t="str">
            <v>장세래</v>
          </cell>
          <cell r="C106">
            <v>45971</v>
          </cell>
          <cell r="D106" t="str">
            <v>설화수 진설명작크림 60ML (26AD 스파츌러대 사출</v>
          </cell>
          <cell r="F106">
            <v>30</v>
          </cell>
          <cell r="G106">
            <v>30</v>
          </cell>
          <cell r="H106">
            <v>30</v>
          </cell>
          <cell r="I106">
            <v>30</v>
          </cell>
          <cell r="J106">
            <v>5</v>
          </cell>
          <cell r="K106">
            <v>20</v>
          </cell>
          <cell r="L106">
            <v>25</v>
          </cell>
          <cell r="M106">
            <v>35</v>
          </cell>
          <cell r="N106">
            <v>40</v>
          </cell>
          <cell r="O106">
            <v>5</v>
          </cell>
          <cell r="P106">
            <v>5</v>
          </cell>
          <cell r="Q106">
            <v>5</v>
          </cell>
          <cell r="R106">
            <v>5</v>
          </cell>
        </row>
        <row r="107">
          <cell r="A107" t="str">
            <v>SI1611_20251104</v>
          </cell>
          <cell r="B107" t="str">
            <v>한창구</v>
          </cell>
          <cell r="C107">
            <v>45965</v>
          </cell>
          <cell r="D107" t="str">
            <v>홀리추얼 울트라 너리싱 어드밴스드 토너 150ML 내캡</v>
          </cell>
          <cell r="G107">
            <v>60</v>
          </cell>
          <cell r="H107">
            <v>60</v>
          </cell>
          <cell r="I107">
            <v>60</v>
          </cell>
          <cell r="J107">
            <v>5</v>
          </cell>
          <cell r="L107">
            <v>20</v>
          </cell>
          <cell r="M107">
            <v>50</v>
          </cell>
          <cell r="N107">
            <v>60</v>
          </cell>
          <cell r="P107">
            <v>10</v>
          </cell>
          <cell r="Q107">
            <v>10</v>
          </cell>
          <cell r="R107">
            <v>10</v>
          </cell>
        </row>
        <row r="108">
          <cell r="A108" t="str">
            <v>SI1638_20251104</v>
          </cell>
          <cell r="B108" t="str">
            <v>유재호</v>
          </cell>
          <cell r="C108">
            <v>45965</v>
          </cell>
          <cell r="D108" t="str">
            <v>헤라 시그니아 바이탈리프팅크림 소용량 15ml 26AD 내용기</v>
          </cell>
          <cell r="F108">
            <v>50</v>
          </cell>
          <cell r="G108">
            <v>50</v>
          </cell>
          <cell r="H108">
            <v>50</v>
          </cell>
          <cell r="I108">
            <v>50</v>
          </cell>
          <cell r="J108">
            <v>5</v>
          </cell>
          <cell r="K108">
            <v>10</v>
          </cell>
          <cell r="L108">
            <v>20</v>
          </cell>
          <cell r="M108">
            <v>30</v>
          </cell>
          <cell r="N108">
            <v>50</v>
          </cell>
          <cell r="P108">
            <v>15</v>
          </cell>
          <cell r="Q108">
            <v>15</v>
          </cell>
          <cell r="R108">
            <v>15</v>
          </cell>
        </row>
        <row r="109">
          <cell r="A109" t="str">
            <v>SI1642_20251030</v>
          </cell>
          <cell r="B109" t="str">
            <v>한창구</v>
          </cell>
          <cell r="C109">
            <v>45960</v>
          </cell>
          <cell r="D109" t="str">
            <v>헤라 시그니아 유스퍼밍 아이크림 소용량 5mL(26AD 내용기</v>
          </cell>
          <cell r="F109">
            <v>100</v>
          </cell>
          <cell r="G109">
            <v>100</v>
          </cell>
          <cell r="H109">
            <v>100</v>
          </cell>
          <cell r="J109">
            <v>5</v>
          </cell>
          <cell r="K109">
            <v>20</v>
          </cell>
          <cell r="L109">
            <v>55</v>
          </cell>
          <cell r="M109">
            <v>60</v>
          </cell>
          <cell r="O109">
            <v>10</v>
          </cell>
          <cell r="P109">
            <v>10</v>
          </cell>
          <cell r="Q109">
            <v>5</v>
          </cell>
        </row>
        <row r="110">
          <cell r="A110" t="str">
            <v>SI1654_20251029</v>
          </cell>
          <cell r="B110" t="str">
            <v/>
          </cell>
          <cell r="C110" t="str">
            <v/>
          </cell>
          <cell r="D110" t="str">
            <v/>
          </cell>
          <cell r="G110">
            <v>80</v>
          </cell>
          <cell r="H110">
            <v>80</v>
          </cell>
          <cell r="I110">
            <v>80</v>
          </cell>
          <cell r="J110">
            <v>10</v>
          </cell>
          <cell r="L110">
            <v>30</v>
          </cell>
          <cell r="M110">
            <v>50</v>
          </cell>
          <cell r="N110">
            <v>60</v>
          </cell>
          <cell r="P110">
            <v>5</v>
          </cell>
          <cell r="Q110">
            <v>10</v>
          </cell>
          <cell r="R110">
            <v>5</v>
          </cell>
        </row>
        <row r="111">
          <cell r="A111" t="str">
            <v>SI1653_20251029</v>
          </cell>
          <cell r="B111" t="str">
            <v>한창구</v>
          </cell>
          <cell r="C111">
            <v>45959</v>
          </cell>
          <cell r="D111" t="str">
            <v>홀리추얼 울트라 너리싱 아이크림 30ML 중캡</v>
          </cell>
          <cell r="F111">
            <v>60</v>
          </cell>
          <cell r="G111">
            <v>60</v>
          </cell>
          <cell r="H111">
            <v>60</v>
          </cell>
          <cell r="J111">
            <v>4</v>
          </cell>
          <cell r="K111">
            <v>20</v>
          </cell>
          <cell r="L111">
            <v>30</v>
          </cell>
          <cell r="M111">
            <v>40</v>
          </cell>
          <cell r="O111">
            <v>15</v>
          </cell>
          <cell r="P111">
            <v>15</v>
          </cell>
          <cell r="Q111">
            <v>10</v>
          </cell>
        </row>
        <row r="112">
          <cell r="A112" t="str">
            <v>SI1638_20251027</v>
          </cell>
          <cell r="B112" t="str">
            <v>장세래</v>
          </cell>
          <cell r="C112">
            <v>45957</v>
          </cell>
          <cell r="D112" t="str">
            <v>헤라 시그니아 바이탈리프팅크림 소용량 15ml 26AD 내용기</v>
          </cell>
          <cell r="F112">
            <v>80</v>
          </cell>
          <cell r="G112">
            <v>80</v>
          </cell>
          <cell r="H112">
            <v>80</v>
          </cell>
          <cell r="I112">
            <v>80</v>
          </cell>
          <cell r="J112">
            <v>5</v>
          </cell>
          <cell r="K112">
            <v>20</v>
          </cell>
          <cell r="L112">
            <v>40</v>
          </cell>
          <cell r="M112">
            <v>55</v>
          </cell>
          <cell r="N112">
            <v>60</v>
          </cell>
          <cell r="O112">
            <v>10</v>
          </cell>
          <cell r="P112">
            <v>10</v>
          </cell>
          <cell r="Q112">
            <v>10</v>
          </cell>
          <cell r="R112">
            <v>10</v>
          </cell>
        </row>
        <row r="113">
          <cell r="A113" t="str">
            <v>SI1642_20251023</v>
          </cell>
          <cell r="B113" t="str">
            <v>유재호</v>
          </cell>
          <cell r="C113">
            <v>45953</v>
          </cell>
          <cell r="D113" t="str">
            <v>헤라 시그니아 유스퍼밍 아이크림 소용량 5mL(26AD 내용기</v>
          </cell>
          <cell r="F113">
            <v>80</v>
          </cell>
          <cell r="G113">
            <v>85</v>
          </cell>
          <cell r="H113">
            <v>80</v>
          </cell>
          <cell r="I113">
            <v>80</v>
          </cell>
          <cell r="J113">
            <v>5</v>
          </cell>
          <cell r="K113">
            <v>10</v>
          </cell>
          <cell r="L113">
            <v>30</v>
          </cell>
          <cell r="M113">
            <v>45</v>
          </cell>
          <cell r="N113">
            <v>60</v>
          </cell>
          <cell r="P113">
            <v>30</v>
          </cell>
          <cell r="Q113">
            <v>30</v>
          </cell>
          <cell r="R113">
            <v>20</v>
          </cell>
        </row>
        <row r="114">
          <cell r="A114" t="str">
            <v>SI1641_20251023</v>
          </cell>
          <cell r="B114" t="str">
            <v>유재호</v>
          </cell>
          <cell r="C114">
            <v>45953</v>
          </cell>
          <cell r="D114" t="str">
            <v>헤라 시그니아 유스퍼밍 아이크림 소용량 5mL(26AD 캡</v>
          </cell>
          <cell r="F114">
            <v>80</v>
          </cell>
          <cell r="G114">
            <v>80</v>
          </cell>
          <cell r="H114">
            <v>80</v>
          </cell>
          <cell r="I114">
            <v>80</v>
          </cell>
          <cell r="J114">
            <v>5</v>
          </cell>
          <cell r="K114">
            <v>10</v>
          </cell>
          <cell r="L114">
            <v>20</v>
          </cell>
          <cell r="M114">
            <v>40</v>
          </cell>
          <cell r="N114">
            <v>60</v>
          </cell>
          <cell r="P114">
            <v>30</v>
          </cell>
          <cell r="Q114">
            <v>30</v>
          </cell>
          <cell r="R114">
            <v>25</v>
          </cell>
        </row>
        <row r="115">
          <cell r="A115" t="str">
            <v>SI1652_20251020</v>
          </cell>
          <cell r="B115" t="str">
            <v>장세래</v>
          </cell>
          <cell r="C115">
            <v>45950</v>
          </cell>
          <cell r="D115" t="str">
            <v>홀리추얼 울트라 너리싱 아이크림 30ML 외캡</v>
          </cell>
          <cell r="F115">
            <v>50</v>
          </cell>
          <cell r="G115">
            <v>50</v>
          </cell>
          <cell r="H115">
            <v>50</v>
          </cell>
          <cell r="I115">
            <v>50</v>
          </cell>
          <cell r="J115">
            <v>5</v>
          </cell>
          <cell r="K115">
            <v>50</v>
          </cell>
          <cell r="L115">
            <v>60</v>
          </cell>
          <cell r="M115">
            <v>75</v>
          </cell>
          <cell r="N115">
            <v>80</v>
          </cell>
          <cell r="O115">
            <v>15</v>
          </cell>
          <cell r="P115">
            <v>15</v>
          </cell>
          <cell r="Q115">
            <v>15</v>
          </cell>
          <cell r="R115">
            <v>15</v>
          </cell>
        </row>
        <row r="116">
          <cell r="A116" t="str">
            <v>SI1655_20251016</v>
          </cell>
          <cell r="B116" t="str">
            <v>유재호</v>
          </cell>
          <cell r="C116">
            <v>45946</v>
          </cell>
          <cell r="D116" t="str">
            <v>홀리추얼 울트라 너리싱 크림 80ML 외캡 사출</v>
          </cell>
          <cell r="F116">
            <v>60</v>
          </cell>
          <cell r="G116">
            <v>60</v>
          </cell>
          <cell r="H116">
            <v>60</v>
          </cell>
          <cell r="I116">
            <v>60</v>
          </cell>
          <cell r="J116">
            <v>4</v>
          </cell>
          <cell r="K116">
            <v>10</v>
          </cell>
          <cell r="L116">
            <v>40</v>
          </cell>
          <cell r="M116">
            <v>80</v>
          </cell>
          <cell r="N116">
            <v>100</v>
          </cell>
          <cell r="P116">
            <v>25</v>
          </cell>
          <cell r="Q116">
            <v>25</v>
          </cell>
          <cell r="R116">
            <v>20</v>
          </cell>
        </row>
        <row r="117">
          <cell r="A117" t="str">
            <v>SI1640_20251014</v>
          </cell>
          <cell r="B117" t="str">
            <v>장세래</v>
          </cell>
          <cell r="C117">
            <v>45944</v>
          </cell>
          <cell r="D117" t="str">
            <v>헤라 시그니아 바이탈리프팅크림 소용량 15ml 26AD 내캡</v>
          </cell>
          <cell r="F117">
            <v>100</v>
          </cell>
          <cell r="G117">
            <v>100</v>
          </cell>
          <cell r="H117">
            <v>100</v>
          </cell>
          <cell r="I117">
            <v>100</v>
          </cell>
          <cell r="J117">
            <v>5</v>
          </cell>
          <cell r="K117">
            <v>30</v>
          </cell>
          <cell r="L117">
            <v>35</v>
          </cell>
          <cell r="M117">
            <v>45</v>
          </cell>
          <cell r="N117">
            <v>50</v>
          </cell>
          <cell r="O117">
            <v>5</v>
          </cell>
          <cell r="P117">
            <v>5</v>
          </cell>
          <cell r="Q117">
            <v>5</v>
          </cell>
          <cell r="R117">
            <v>5</v>
          </cell>
        </row>
        <row r="118">
          <cell r="A118" t="str">
            <v>SI1638_20251014</v>
          </cell>
          <cell r="B118" t="str">
            <v>유재호</v>
          </cell>
          <cell r="C118">
            <v>45944</v>
          </cell>
          <cell r="D118" t="str">
            <v>헤라 시그니아 바이탈리프팅크림 소용량 15ml 26AD 내용기</v>
          </cell>
          <cell r="F118">
            <v>80</v>
          </cell>
          <cell r="G118">
            <v>80</v>
          </cell>
          <cell r="H118">
            <v>80</v>
          </cell>
          <cell r="I118">
            <v>80</v>
          </cell>
          <cell r="J118">
            <v>5</v>
          </cell>
          <cell r="K118">
            <v>10</v>
          </cell>
          <cell r="L118">
            <v>30</v>
          </cell>
          <cell r="M118">
            <v>40</v>
          </cell>
          <cell r="N118">
            <v>60</v>
          </cell>
          <cell r="P118">
            <v>10</v>
          </cell>
          <cell r="Q118">
            <v>10</v>
          </cell>
          <cell r="R118">
            <v>5</v>
          </cell>
        </row>
        <row r="119">
          <cell r="A119" t="str">
            <v>SI1654_20251014</v>
          </cell>
          <cell r="B119" t="str">
            <v>유재호</v>
          </cell>
          <cell r="C119">
            <v>45944</v>
          </cell>
          <cell r="D119" t="str">
            <v>홀리추얼 울트라 너리싱 아이크림 30ML 내캡</v>
          </cell>
          <cell r="F119">
            <v>80</v>
          </cell>
          <cell r="G119">
            <v>80</v>
          </cell>
          <cell r="H119">
            <v>80</v>
          </cell>
          <cell r="I119">
            <v>80</v>
          </cell>
          <cell r="J119">
            <v>5</v>
          </cell>
          <cell r="L119">
            <v>30</v>
          </cell>
          <cell r="M119">
            <v>45</v>
          </cell>
          <cell r="N119">
            <v>60</v>
          </cell>
          <cell r="O119">
            <v>5</v>
          </cell>
          <cell r="P119">
            <v>10</v>
          </cell>
          <cell r="Q119">
            <v>10</v>
          </cell>
        </row>
        <row r="120">
          <cell r="A120" t="str">
            <v>SI1642_20250930</v>
          </cell>
          <cell r="B120" t="str">
            <v>장세래</v>
          </cell>
          <cell r="C120">
            <v>45930</v>
          </cell>
          <cell r="D120" t="str">
            <v>헤라 시그니아 유스퍼밍 아이크림 소용량 5mL(26AD 내용기</v>
          </cell>
          <cell r="F120">
            <v>50</v>
          </cell>
          <cell r="G120">
            <v>50</v>
          </cell>
          <cell r="H120">
            <v>50</v>
          </cell>
          <cell r="I120">
            <v>50</v>
          </cell>
          <cell r="J120">
            <v>5</v>
          </cell>
          <cell r="K120">
            <v>20</v>
          </cell>
          <cell r="L120">
            <v>30</v>
          </cell>
          <cell r="M120">
            <v>45</v>
          </cell>
          <cell r="N120">
            <v>50</v>
          </cell>
          <cell r="O120">
            <v>15</v>
          </cell>
          <cell r="P120">
            <v>15</v>
          </cell>
          <cell r="Q120">
            <v>15</v>
          </cell>
          <cell r="R120">
            <v>15</v>
          </cell>
        </row>
        <row r="121">
          <cell r="A121" t="str">
            <v>SI1638_20250930</v>
          </cell>
          <cell r="B121" t="str">
            <v>장세래</v>
          </cell>
          <cell r="C121">
            <v>45930</v>
          </cell>
          <cell r="D121" t="str">
            <v>헤라 시그니아 바이탈리프팅크림 소용량 15ml 26AD 내용기</v>
          </cell>
          <cell r="F121">
            <v>50</v>
          </cell>
          <cell r="G121">
            <v>50</v>
          </cell>
          <cell r="H121">
            <v>50</v>
          </cell>
          <cell r="I121">
            <v>50</v>
          </cell>
          <cell r="J121">
            <v>5</v>
          </cell>
          <cell r="K121">
            <v>20</v>
          </cell>
          <cell r="L121">
            <v>30</v>
          </cell>
          <cell r="M121">
            <v>45</v>
          </cell>
          <cell r="N121">
            <v>50</v>
          </cell>
          <cell r="O121">
            <v>15</v>
          </cell>
          <cell r="P121">
            <v>15</v>
          </cell>
          <cell r="Q121">
            <v>15</v>
          </cell>
          <cell r="R121">
            <v>15</v>
          </cell>
        </row>
        <row r="122">
          <cell r="A122" t="str">
            <v>SI1620_20250929</v>
          </cell>
          <cell r="B122" t="str">
            <v>장세래</v>
          </cell>
          <cell r="C122">
            <v>45929</v>
          </cell>
          <cell r="D122" t="str">
            <v>설화수 진설명작크림 60ML (26AD 용기받침 사출</v>
          </cell>
          <cell r="F122">
            <v>50</v>
          </cell>
          <cell r="G122">
            <v>50</v>
          </cell>
          <cell r="H122">
            <v>50</v>
          </cell>
          <cell r="I122">
            <v>50</v>
          </cell>
          <cell r="J122">
            <v>5</v>
          </cell>
          <cell r="K122">
            <v>10</v>
          </cell>
          <cell r="L122">
            <v>20</v>
          </cell>
          <cell r="M122">
            <v>40</v>
          </cell>
          <cell r="N122">
            <v>60</v>
          </cell>
          <cell r="O122">
            <v>15</v>
          </cell>
          <cell r="P122">
            <v>15</v>
          </cell>
          <cell r="Q122">
            <v>15</v>
          </cell>
          <cell r="R122">
            <v>15</v>
          </cell>
        </row>
        <row r="123">
          <cell r="A123" t="str">
            <v>SI1653_20251003</v>
          </cell>
          <cell r="B123" t="str">
            <v>유재호</v>
          </cell>
          <cell r="C123">
            <v>45933</v>
          </cell>
          <cell r="D123" t="str">
            <v>홀리추얼 울트라 너리싱 아이크림 30ML 중캡</v>
          </cell>
          <cell r="F123">
            <v>50</v>
          </cell>
          <cell r="G123">
            <v>50</v>
          </cell>
          <cell r="H123">
            <v>50</v>
          </cell>
          <cell r="I123">
            <v>50</v>
          </cell>
          <cell r="J123">
            <v>4</v>
          </cell>
          <cell r="K123">
            <v>10</v>
          </cell>
          <cell r="L123">
            <v>20</v>
          </cell>
          <cell r="M123">
            <v>30</v>
          </cell>
          <cell r="N123">
            <v>40</v>
          </cell>
          <cell r="O123">
            <v>15</v>
          </cell>
          <cell r="P123">
            <v>15</v>
          </cell>
          <cell r="Q123">
            <v>15</v>
          </cell>
          <cell r="R123">
            <v>10</v>
          </cell>
        </row>
        <row r="124">
          <cell r="A124" t="str">
            <v>SI1652_20251003</v>
          </cell>
          <cell r="B124" t="str">
            <v>유재호</v>
          </cell>
          <cell r="C124">
            <v>45933</v>
          </cell>
          <cell r="D124" t="str">
            <v>홀리추얼 울트라 너리싱 아이크림 30ML 외캡</v>
          </cell>
          <cell r="F124">
            <v>50</v>
          </cell>
          <cell r="G124">
            <v>50</v>
          </cell>
          <cell r="H124">
            <v>50</v>
          </cell>
          <cell r="I124">
            <v>50</v>
          </cell>
          <cell r="J124">
            <v>5</v>
          </cell>
          <cell r="K124">
            <v>10</v>
          </cell>
          <cell r="L124">
            <v>20</v>
          </cell>
          <cell r="M124">
            <v>40</v>
          </cell>
          <cell r="N124">
            <v>60</v>
          </cell>
          <cell r="O124">
            <v>15</v>
          </cell>
          <cell r="P124">
            <v>15</v>
          </cell>
          <cell r="Q124">
            <v>15</v>
          </cell>
          <cell r="R124">
            <v>10</v>
          </cell>
        </row>
        <row r="125">
          <cell r="A125" t="str">
            <v>SI1637_20251001</v>
          </cell>
          <cell r="B125" t="str">
            <v>장세래</v>
          </cell>
          <cell r="C125">
            <v>45931</v>
          </cell>
          <cell r="D125" t="str">
            <v>헤라 시그니아 바이탈리프팅크림 소용량 15ml 26AD 외용기</v>
          </cell>
          <cell r="F125">
            <v>10</v>
          </cell>
          <cell r="G125">
            <v>10</v>
          </cell>
          <cell r="H125">
            <v>10</v>
          </cell>
          <cell r="I125">
            <v>10</v>
          </cell>
          <cell r="K125">
            <v>35</v>
          </cell>
          <cell r="L125">
            <v>50</v>
          </cell>
          <cell r="M125">
            <v>95</v>
          </cell>
          <cell r="N125">
            <v>100</v>
          </cell>
          <cell r="O125">
            <v>10</v>
          </cell>
          <cell r="P125">
            <v>10</v>
          </cell>
          <cell r="Q125">
            <v>10</v>
          </cell>
          <cell r="R125">
            <v>10</v>
          </cell>
        </row>
        <row r="126">
          <cell r="A126" t="str">
            <v>SI1643_20251001</v>
          </cell>
          <cell r="B126" t="str">
            <v>장세래</v>
          </cell>
          <cell r="C126">
            <v>45931</v>
          </cell>
          <cell r="D126" t="str">
            <v>헤라 시그니아 유스퍼밍 아이크림 소용량 5mL(26AD 외용기</v>
          </cell>
          <cell r="F126">
            <v>10</v>
          </cell>
          <cell r="G126">
            <v>10</v>
          </cell>
          <cell r="H126">
            <v>10</v>
          </cell>
          <cell r="I126">
            <v>10</v>
          </cell>
          <cell r="K126">
            <v>30</v>
          </cell>
          <cell r="L126">
            <v>40</v>
          </cell>
          <cell r="M126">
            <v>75</v>
          </cell>
          <cell r="N126">
            <v>80</v>
          </cell>
          <cell r="O126">
            <v>10</v>
          </cell>
          <cell r="P126">
            <v>10</v>
          </cell>
          <cell r="Q126">
            <v>10</v>
          </cell>
          <cell r="R126">
            <v>10</v>
          </cell>
        </row>
        <row r="127">
          <cell r="A127" t="str">
            <v>SI1629_20250926</v>
          </cell>
          <cell r="B127" t="str">
            <v>유재호</v>
          </cell>
          <cell r="C127">
            <v>45926</v>
          </cell>
          <cell r="D127" t="str">
            <v>설화수 진설명작크림 (견) 10ML (AD 사출덮개</v>
          </cell>
          <cell r="F127">
            <v>45</v>
          </cell>
          <cell r="G127">
            <v>45</v>
          </cell>
          <cell r="H127">
            <v>45</v>
          </cell>
          <cell r="I127">
            <v>45</v>
          </cell>
          <cell r="J127">
            <v>5</v>
          </cell>
          <cell r="K127">
            <v>5</v>
          </cell>
          <cell r="L127">
            <v>10</v>
          </cell>
          <cell r="M127">
            <v>20</v>
          </cell>
          <cell r="N127">
            <v>27</v>
          </cell>
          <cell r="O127">
            <v>5</v>
          </cell>
          <cell r="P127">
            <v>5</v>
          </cell>
          <cell r="Q127">
            <v>5</v>
          </cell>
          <cell r="R127">
            <v>5</v>
          </cell>
        </row>
        <row r="128">
          <cell r="A128" t="str">
            <v>SI1634_20250926</v>
          </cell>
          <cell r="B128" t="str">
            <v>유재호</v>
          </cell>
          <cell r="C128">
            <v>45926</v>
          </cell>
          <cell r="D128" t="str">
            <v>설화수 진설명작크림 (견) 5ML (AD 사출덮개</v>
          </cell>
          <cell r="F128">
            <v>45</v>
          </cell>
          <cell r="G128">
            <v>45</v>
          </cell>
          <cell r="H128">
            <v>45</v>
          </cell>
          <cell r="I128">
            <v>45</v>
          </cell>
          <cell r="J128">
            <v>5</v>
          </cell>
          <cell r="K128">
            <v>5</v>
          </cell>
          <cell r="L128">
            <v>10</v>
          </cell>
          <cell r="M128">
            <v>20</v>
          </cell>
          <cell r="N128">
            <v>25</v>
          </cell>
          <cell r="O128">
            <v>5</v>
          </cell>
          <cell r="P128">
            <v>5</v>
          </cell>
          <cell r="Q128">
            <v>5</v>
          </cell>
          <cell r="R128">
            <v>5</v>
          </cell>
        </row>
        <row r="129">
          <cell r="A129" t="str">
            <v>SI1641_20250925</v>
          </cell>
          <cell r="B129" t="str">
            <v>유재호</v>
          </cell>
          <cell r="C129">
            <v>45925</v>
          </cell>
          <cell r="D129" t="str">
            <v>헤라 시그니아 유스퍼밍 아이크림 소용량 5mL(26AD 캡</v>
          </cell>
          <cell r="F129">
            <v>50</v>
          </cell>
          <cell r="G129">
            <v>50</v>
          </cell>
          <cell r="H129">
            <v>50</v>
          </cell>
          <cell r="I129">
            <v>50</v>
          </cell>
          <cell r="J129">
            <v>5</v>
          </cell>
          <cell r="K129">
            <v>60</v>
          </cell>
          <cell r="L129">
            <v>50</v>
          </cell>
          <cell r="M129">
            <v>30</v>
          </cell>
          <cell r="N129">
            <v>10</v>
          </cell>
          <cell r="O129">
            <v>5</v>
          </cell>
          <cell r="P129">
            <v>5</v>
          </cell>
          <cell r="Q129">
            <v>5</v>
          </cell>
        </row>
        <row r="130">
          <cell r="A130" t="str">
            <v>SI1640_20250923</v>
          </cell>
          <cell r="B130" t="str">
            <v>장세래</v>
          </cell>
          <cell r="C130">
            <v>45923</v>
          </cell>
          <cell r="D130" t="str">
            <v>헤라 시그니아 바이탈리프팅크림 소용량 15ml 26AD 내캡</v>
          </cell>
          <cell r="F130">
            <v>30</v>
          </cell>
          <cell r="G130">
            <v>30</v>
          </cell>
          <cell r="H130">
            <v>30</v>
          </cell>
          <cell r="I130">
            <v>30</v>
          </cell>
          <cell r="J130">
            <v>5</v>
          </cell>
          <cell r="K130">
            <v>35</v>
          </cell>
          <cell r="L130">
            <v>40</v>
          </cell>
          <cell r="M130">
            <v>45</v>
          </cell>
          <cell r="N130">
            <v>50</v>
          </cell>
          <cell r="O130">
            <v>10</v>
          </cell>
          <cell r="P130">
            <v>10</v>
          </cell>
          <cell r="Q130">
            <v>10</v>
          </cell>
          <cell r="R130">
            <v>10</v>
          </cell>
        </row>
        <row r="131">
          <cell r="A131" t="str">
            <v>SI1637_20250923</v>
          </cell>
          <cell r="B131" t="str">
            <v>민병태</v>
          </cell>
          <cell r="C131">
            <v>45923</v>
          </cell>
          <cell r="D131" t="str">
            <v>헤라 시그니아 바이탈리프팅크림 소용량 15ml 26AD 외용기</v>
          </cell>
          <cell r="F131">
            <v>40</v>
          </cell>
          <cell r="G131">
            <v>40</v>
          </cell>
          <cell r="H131">
            <v>40</v>
          </cell>
          <cell r="I131">
            <v>40</v>
          </cell>
          <cell r="K131">
            <v>15</v>
          </cell>
          <cell r="L131">
            <v>40</v>
          </cell>
          <cell r="M131">
            <v>130</v>
          </cell>
          <cell r="N131">
            <v>140</v>
          </cell>
          <cell r="O131">
            <v>10</v>
          </cell>
          <cell r="P131">
            <v>10</v>
          </cell>
          <cell r="Q131">
            <v>10</v>
          </cell>
          <cell r="R131">
            <v>10</v>
          </cell>
        </row>
        <row r="132">
          <cell r="A132" t="str">
            <v>SI1643_20250923</v>
          </cell>
          <cell r="B132" t="str">
            <v>민병태</v>
          </cell>
          <cell r="C132">
            <v>45923</v>
          </cell>
          <cell r="D132" t="str">
            <v>헤라 시그니아 유스퍼밍 아이크림 소용량 5mL(26AD 외용기</v>
          </cell>
          <cell r="F132">
            <v>25</v>
          </cell>
          <cell r="G132">
            <v>25</v>
          </cell>
          <cell r="H132">
            <v>25</v>
          </cell>
          <cell r="I132">
            <v>25</v>
          </cell>
          <cell r="K132">
            <v>30</v>
          </cell>
          <cell r="L132">
            <v>40</v>
          </cell>
          <cell r="M132">
            <v>75</v>
          </cell>
          <cell r="N132">
            <v>80</v>
          </cell>
          <cell r="O132">
            <v>10</v>
          </cell>
          <cell r="P132">
            <v>10</v>
          </cell>
          <cell r="Q132">
            <v>10</v>
          </cell>
          <cell r="R132">
            <v>10</v>
          </cell>
        </row>
        <row r="133">
          <cell r="A133" t="str">
            <v>SI1642_20250915</v>
          </cell>
          <cell r="B133" t="str">
            <v>장세래</v>
          </cell>
          <cell r="C133">
            <v>45915</v>
          </cell>
          <cell r="D133" t="str">
            <v>헤라 시그니아 유스퍼밍 아이크림 소용량 5mL(26AD 내용기</v>
          </cell>
          <cell r="F133">
            <v>50</v>
          </cell>
          <cell r="G133">
            <v>50</v>
          </cell>
          <cell r="H133">
            <v>50</v>
          </cell>
          <cell r="I133">
            <v>50</v>
          </cell>
          <cell r="J133">
            <v>8</v>
          </cell>
          <cell r="K133">
            <v>35</v>
          </cell>
          <cell r="L133">
            <v>45</v>
          </cell>
          <cell r="M133">
            <v>55</v>
          </cell>
          <cell r="N133">
            <v>60</v>
          </cell>
          <cell r="O133">
            <v>10</v>
          </cell>
          <cell r="P133">
            <v>10</v>
          </cell>
          <cell r="Q133">
            <v>10</v>
          </cell>
          <cell r="R133">
            <v>10</v>
          </cell>
        </row>
        <row r="134">
          <cell r="A134" t="str">
            <v>SI1638_20250915</v>
          </cell>
          <cell r="B134" t="str">
            <v>장세래</v>
          </cell>
          <cell r="C134">
            <v>45915</v>
          </cell>
          <cell r="D134" t="str">
            <v>헤라 시그니아 바이탈리프팅크림 소용량 15ml 26AD 내용기</v>
          </cell>
          <cell r="F134">
            <v>50</v>
          </cell>
          <cell r="G134">
            <v>50</v>
          </cell>
          <cell r="H134">
            <v>50</v>
          </cell>
          <cell r="I134">
            <v>50</v>
          </cell>
          <cell r="J134">
            <v>5</v>
          </cell>
          <cell r="K134">
            <v>30</v>
          </cell>
          <cell r="L134">
            <v>45</v>
          </cell>
          <cell r="M134">
            <v>55</v>
          </cell>
          <cell r="N134">
            <v>60</v>
          </cell>
          <cell r="O134">
            <v>10</v>
          </cell>
          <cell r="P134">
            <v>10</v>
          </cell>
          <cell r="Q134">
            <v>10</v>
          </cell>
          <cell r="R134">
            <v>10</v>
          </cell>
        </row>
        <row r="135">
          <cell r="A135" t="str">
            <v>SI1643_20250913</v>
          </cell>
          <cell r="B135" t="str">
            <v>장세래</v>
          </cell>
          <cell r="C135">
            <v>45913</v>
          </cell>
          <cell r="D135" t="str">
            <v>헤라 시그니아 유스퍼밍 아이크림 소용량 5mL(26AD 외용기</v>
          </cell>
          <cell r="F135">
            <v>25</v>
          </cell>
          <cell r="G135">
            <v>25</v>
          </cell>
          <cell r="H135">
            <v>25</v>
          </cell>
          <cell r="I135">
            <v>25</v>
          </cell>
          <cell r="K135">
            <v>30</v>
          </cell>
          <cell r="L135">
            <v>60</v>
          </cell>
          <cell r="M135">
            <v>75</v>
          </cell>
          <cell r="N135">
            <v>80</v>
          </cell>
          <cell r="O135">
            <v>10</v>
          </cell>
          <cell r="P135">
            <v>10</v>
          </cell>
          <cell r="Q135">
            <v>10</v>
          </cell>
          <cell r="R135">
            <v>10</v>
          </cell>
        </row>
        <row r="136">
          <cell r="A136" t="str">
            <v>SI1637_20250913</v>
          </cell>
          <cell r="B136" t="str">
            <v>장세래</v>
          </cell>
          <cell r="C136">
            <v>45913</v>
          </cell>
          <cell r="D136" t="str">
            <v>헤라 시그니아 바이탈리프팅크림 소용량 15ml 26AD 외용기</v>
          </cell>
          <cell r="F136">
            <v>25</v>
          </cell>
          <cell r="G136">
            <v>25</v>
          </cell>
          <cell r="H136">
            <v>25</v>
          </cell>
          <cell r="I136">
            <v>25</v>
          </cell>
          <cell r="K136">
            <v>20</v>
          </cell>
          <cell r="L136">
            <v>40</v>
          </cell>
          <cell r="M136">
            <v>95</v>
          </cell>
          <cell r="N136">
            <v>100</v>
          </cell>
          <cell r="O136">
            <v>10</v>
          </cell>
          <cell r="P136">
            <v>10</v>
          </cell>
          <cell r="Q136">
            <v>10</v>
          </cell>
          <cell r="R136">
            <v>10</v>
          </cell>
        </row>
        <row r="137">
          <cell r="A137" t="str">
            <v>SI1632_20250911</v>
          </cell>
          <cell r="B137">
            <v>0</v>
          </cell>
          <cell r="C137">
            <v>45911</v>
          </cell>
          <cell r="D137" t="str">
            <v>설화수 진설명작크림 (견) 5ML (AD 단용기</v>
          </cell>
          <cell r="F137">
            <v>100</v>
          </cell>
          <cell r="G137">
            <v>100</v>
          </cell>
          <cell r="H137">
            <v>100</v>
          </cell>
          <cell r="I137">
            <v>100</v>
          </cell>
          <cell r="J137">
            <v>5</v>
          </cell>
          <cell r="K137">
            <v>10</v>
          </cell>
          <cell r="L137">
            <v>20</v>
          </cell>
          <cell r="M137">
            <v>30</v>
          </cell>
          <cell r="N137">
            <v>50</v>
          </cell>
          <cell r="O137">
            <v>10</v>
          </cell>
          <cell r="P137">
            <v>10</v>
          </cell>
          <cell r="Q137">
            <v>10</v>
          </cell>
          <cell r="R137">
            <v>5</v>
          </cell>
        </row>
        <row r="138">
          <cell r="A138" t="str">
            <v>SI1628_20250911</v>
          </cell>
          <cell r="B138">
            <v>0</v>
          </cell>
          <cell r="C138">
            <v>45911</v>
          </cell>
          <cell r="D138" t="str">
            <v>설화수 진설명작크림 (견) 10ML (AD 단용기</v>
          </cell>
          <cell r="F138">
            <v>100</v>
          </cell>
          <cell r="G138">
            <v>100</v>
          </cell>
          <cell r="H138">
            <v>100</v>
          </cell>
          <cell r="I138">
            <v>100</v>
          </cell>
          <cell r="J138">
            <v>5</v>
          </cell>
          <cell r="K138">
            <v>10</v>
          </cell>
          <cell r="L138">
            <v>20</v>
          </cell>
          <cell r="M138">
            <v>50</v>
          </cell>
          <cell r="N138">
            <v>60</v>
          </cell>
          <cell r="O138">
            <v>10</v>
          </cell>
          <cell r="P138">
            <v>10</v>
          </cell>
          <cell r="Q138">
            <v>10</v>
          </cell>
          <cell r="R138">
            <v>5</v>
          </cell>
        </row>
        <row r="139">
          <cell r="A139" t="str">
            <v>SI1619_20250911</v>
          </cell>
          <cell r="B139" t="str">
            <v>유재호</v>
          </cell>
          <cell r="C139">
            <v>45911</v>
          </cell>
          <cell r="D139" t="str">
            <v>설화수 진설명작크림 60ML (26AD 외용기</v>
          </cell>
          <cell r="F139">
            <v>50</v>
          </cell>
          <cell r="G139">
            <v>50</v>
          </cell>
          <cell r="H139">
            <v>50</v>
          </cell>
          <cell r="I139">
            <v>50</v>
          </cell>
          <cell r="J139">
            <v>5</v>
          </cell>
          <cell r="K139">
            <v>10</v>
          </cell>
          <cell r="L139">
            <v>20</v>
          </cell>
          <cell r="M139">
            <v>60</v>
          </cell>
          <cell r="N139">
            <v>90</v>
          </cell>
          <cell r="P139">
            <v>10</v>
          </cell>
          <cell r="Q139">
            <v>10</v>
          </cell>
          <cell r="R139">
            <v>10</v>
          </cell>
        </row>
        <row r="140">
          <cell r="A140" t="str">
            <v>SI1618_20250911</v>
          </cell>
          <cell r="B140" t="str">
            <v>유재호</v>
          </cell>
          <cell r="C140">
            <v>45911</v>
          </cell>
          <cell r="D140" t="str">
            <v>설화수 진설명작크림 60ML (26AD 내용기</v>
          </cell>
          <cell r="F140">
            <v>100</v>
          </cell>
          <cell r="G140">
            <v>100</v>
          </cell>
          <cell r="H140">
            <v>100</v>
          </cell>
          <cell r="I140">
            <v>100</v>
          </cell>
          <cell r="J140">
            <v>5</v>
          </cell>
          <cell r="K140">
            <v>20</v>
          </cell>
          <cell r="L140">
            <v>40</v>
          </cell>
          <cell r="M140">
            <v>60</v>
          </cell>
          <cell r="O140">
            <v>10</v>
          </cell>
          <cell r="P140">
            <v>10</v>
          </cell>
          <cell r="Q140">
            <v>10</v>
          </cell>
          <cell r="R140">
            <v>5</v>
          </cell>
        </row>
        <row r="141">
          <cell r="A141" t="str">
            <v>SI1614_20250911</v>
          </cell>
          <cell r="B141" t="str">
            <v>유재호</v>
          </cell>
          <cell r="C141">
            <v>45911</v>
          </cell>
          <cell r="D141" t="str">
            <v>설화수 진설명작크림 60ML (26AD 내캡</v>
          </cell>
          <cell r="F141">
            <v>100</v>
          </cell>
          <cell r="G141">
            <v>100</v>
          </cell>
          <cell r="H141">
            <v>100</v>
          </cell>
          <cell r="I141">
            <v>100</v>
          </cell>
          <cell r="J141">
            <v>5</v>
          </cell>
          <cell r="K141">
            <v>20</v>
          </cell>
          <cell r="L141">
            <v>40</v>
          </cell>
          <cell r="M141">
            <v>60</v>
          </cell>
          <cell r="N141">
            <v>80</v>
          </cell>
          <cell r="O141">
            <v>10</v>
          </cell>
          <cell r="P141">
            <v>10</v>
          </cell>
          <cell r="Q141">
            <v>10</v>
          </cell>
          <cell r="R141">
            <v>5</v>
          </cell>
        </row>
        <row r="142">
          <cell r="A142" t="str">
            <v>SI1641_20250903</v>
          </cell>
          <cell r="B142" t="str">
            <v>유재호</v>
          </cell>
          <cell r="C142">
            <v>45903</v>
          </cell>
          <cell r="D142" t="str">
            <v>헤라 시그니아 유스퍼밍 아이크림 소용량 5mL(26AD 캡</v>
          </cell>
          <cell r="F142">
            <v>50</v>
          </cell>
          <cell r="G142">
            <v>50</v>
          </cell>
          <cell r="H142">
            <v>50</v>
          </cell>
          <cell r="I142">
            <v>50</v>
          </cell>
          <cell r="J142">
            <v>5</v>
          </cell>
          <cell r="K142">
            <v>35</v>
          </cell>
          <cell r="L142">
            <v>45</v>
          </cell>
          <cell r="M142">
            <v>55</v>
          </cell>
          <cell r="N142">
            <v>60</v>
          </cell>
          <cell r="O142">
            <v>10</v>
          </cell>
          <cell r="P142">
            <v>10</v>
          </cell>
          <cell r="Q142">
            <v>10</v>
          </cell>
          <cell r="R142">
            <v>5</v>
          </cell>
        </row>
        <row r="143">
          <cell r="A143" t="str">
            <v>SI1640_20250903</v>
          </cell>
          <cell r="B143" t="str">
            <v>유재호</v>
          </cell>
          <cell r="C143">
            <v>45903</v>
          </cell>
          <cell r="D143" t="str">
            <v>헤라 시그니아 바이탈리프팅크림 소용량 15ml 26AD 내캡</v>
          </cell>
          <cell r="F143">
            <v>50</v>
          </cell>
          <cell r="G143">
            <v>50</v>
          </cell>
          <cell r="H143">
            <v>50</v>
          </cell>
          <cell r="I143">
            <v>50</v>
          </cell>
          <cell r="J143">
            <v>5</v>
          </cell>
          <cell r="K143">
            <v>20</v>
          </cell>
          <cell r="L143">
            <v>30</v>
          </cell>
          <cell r="M143">
            <v>40</v>
          </cell>
          <cell r="N143">
            <v>50</v>
          </cell>
          <cell r="O143">
            <v>10</v>
          </cell>
          <cell r="P143">
            <v>10</v>
          </cell>
          <cell r="Q143">
            <v>10</v>
          </cell>
          <cell r="R143">
            <v>5</v>
          </cell>
        </row>
        <row r="144">
          <cell r="A144" t="str">
            <v>SI1642_20250902</v>
          </cell>
          <cell r="B144" t="str">
            <v>유재호</v>
          </cell>
          <cell r="C144">
            <v>45902</v>
          </cell>
          <cell r="D144" t="str">
            <v>헤라 시그니아 유스퍼밍 아이크림 소용량 5mL(26AD 내용기</v>
          </cell>
          <cell r="F144">
            <v>100</v>
          </cell>
          <cell r="G144">
            <v>100</v>
          </cell>
          <cell r="H144">
            <v>100</v>
          </cell>
          <cell r="I144">
            <v>100</v>
          </cell>
          <cell r="J144">
            <v>5</v>
          </cell>
          <cell r="K144">
            <v>10</v>
          </cell>
          <cell r="L144">
            <v>20</v>
          </cell>
          <cell r="M144">
            <v>30</v>
          </cell>
          <cell r="N144">
            <v>50</v>
          </cell>
          <cell r="O144">
            <v>10</v>
          </cell>
          <cell r="P144">
            <v>10</v>
          </cell>
          <cell r="Q144">
            <v>10</v>
          </cell>
          <cell r="R144">
            <v>5</v>
          </cell>
        </row>
        <row r="145">
          <cell r="A145" t="str">
            <v>SI1638_20250902</v>
          </cell>
          <cell r="B145" t="str">
            <v>유재호</v>
          </cell>
          <cell r="C145">
            <v>45902</v>
          </cell>
          <cell r="D145" t="str">
            <v>헤라 시그니아 바이탈리프팅크림 소용량 15ml 26AD 내용기</v>
          </cell>
          <cell r="F145">
            <v>100</v>
          </cell>
          <cell r="G145">
            <v>100</v>
          </cell>
          <cell r="H145">
            <v>100</v>
          </cell>
          <cell r="I145">
            <v>100</v>
          </cell>
          <cell r="J145">
            <v>5</v>
          </cell>
          <cell r="K145">
            <v>100</v>
          </cell>
          <cell r="L145">
            <v>20</v>
          </cell>
          <cell r="M145">
            <v>30</v>
          </cell>
          <cell r="N145">
            <v>60</v>
          </cell>
          <cell r="O145">
            <v>10</v>
          </cell>
          <cell r="P145">
            <v>10</v>
          </cell>
          <cell r="Q145">
            <v>10</v>
          </cell>
          <cell r="R145">
            <v>5</v>
          </cell>
        </row>
        <row r="146">
          <cell r="A146" t="str">
            <v>SI1643_20250828</v>
          </cell>
          <cell r="B146" t="str">
            <v>장세래</v>
          </cell>
          <cell r="C146">
            <v>45897</v>
          </cell>
          <cell r="D146" t="str">
            <v>헤라 시그니아 유스퍼밍 아이크림 소용량 5mL(26AD 외용기</v>
          </cell>
          <cell r="F146">
            <v>25</v>
          </cell>
          <cell r="G146">
            <v>25</v>
          </cell>
          <cell r="H146">
            <v>25</v>
          </cell>
          <cell r="I146">
            <v>25</v>
          </cell>
          <cell r="J146">
            <v>0</v>
          </cell>
          <cell r="K146">
            <v>10</v>
          </cell>
          <cell r="L146">
            <v>20</v>
          </cell>
          <cell r="M146">
            <v>75</v>
          </cell>
          <cell r="N146">
            <v>80</v>
          </cell>
          <cell r="O146">
            <v>10</v>
          </cell>
          <cell r="P146">
            <v>10</v>
          </cell>
          <cell r="Q146">
            <v>10</v>
          </cell>
          <cell r="R146">
            <v>10</v>
          </cell>
        </row>
        <row r="147">
          <cell r="A147" t="str">
            <v>SI1637_20250828</v>
          </cell>
          <cell r="B147" t="str">
            <v>장세래</v>
          </cell>
          <cell r="C147">
            <v>45897</v>
          </cell>
          <cell r="D147" t="str">
            <v>헤라 시그니아 바이탈리프팅크림 소용량 15ml 26AD 외용기</v>
          </cell>
          <cell r="F147">
            <v>25</v>
          </cell>
          <cell r="G147">
            <v>25</v>
          </cell>
          <cell r="H147">
            <v>25</v>
          </cell>
          <cell r="I147">
            <v>25</v>
          </cell>
          <cell r="J147">
            <v>0</v>
          </cell>
          <cell r="K147">
            <v>10</v>
          </cell>
          <cell r="L147">
            <v>20</v>
          </cell>
          <cell r="M147">
            <v>95</v>
          </cell>
          <cell r="N147">
            <v>100</v>
          </cell>
          <cell r="O147">
            <v>10</v>
          </cell>
          <cell r="P147">
            <v>10</v>
          </cell>
          <cell r="Q147">
            <v>10</v>
          </cell>
          <cell r="R147">
            <v>10</v>
          </cell>
        </row>
        <row r="148">
          <cell r="A148" t="str">
            <v>SI1628_20250812</v>
          </cell>
          <cell r="B148" t="str">
            <v>한창구</v>
          </cell>
          <cell r="C148">
            <v>45896</v>
          </cell>
          <cell r="D148" t="str">
            <v>설화수 진설명작크림 (견) 10ML (AD 단용기</v>
          </cell>
          <cell r="F148">
            <v>25</v>
          </cell>
          <cell r="G148">
            <v>25</v>
          </cell>
          <cell r="H148">
            <v>25</v>
          </cell>
          <cell r="I148">
            <v>25</v>
          </cell>
          <cell r="J148">
            <v>0</v>
          </cell>
          <cell r="K148">
            <v>10</v>
          </cell>
          <cell r="L148">
            <v>20</v>
          </cell>
          <cell r="M148">
            <v>95</v>
          </cell>
          <cell r="N148">
            <v>100</v>
          </cell>
          <cell r="O148">
            <v>10</v>
          </cell>
          <cell r="P148">
            <v>10</v>
          </cell>
          <cell r="Q148">
            <v>10</v>
          </cell>
          <cell r="R148">
            <v>10</v>
          </cell>
        </row>
        <row r="149">
          <cell r="A149" t="str">
            <v>SI1628_20250812</v>
          </cell>
          <cell r="B149" t="str">
            <v>한창구</v>
          </cell>
          <cell r="C149">
            <v>45896</v>
          </cell>
          <cell r="D149" t="str">
            <v>설화수 진설명작크림 (견) 10ML (AD 단용기</v>
          </cell>
          <cell r="F149">
            <v>35</v>
          </cell>
          <cell r="G149">
            <v>35</v>
          </cell>
          <cell r="H149">
            <v>35</v>
          </cell>
          <cell r="I149">
            <v>35</v>
          </cell>
          <cell r="J149">
            <v>10</v>
          </cell>
          <cell r="K149">
            <v>20</v>
          </cell>
          <cell r="L149">
            <v>45</v>
          </cell>
          <cell r="M149">
            <v>50</v>
          </cell>
          <cell r="N149">
            <v>60</v>
          </cell>
          <cell r="O149">
            <v>10</v>
          </cell>
          <cell r="P149">
            <v>10</v>
          </cell>
          <cell r="Q149">
            <v>10</v>
          </cell>
          <cell r="R149">
            <v>5</v>
          </cell>
        </row>
        <row r="150">
          <cell r="A150" t="str">
            <v>SI1632_20250812</v>
          </cell>
          <cell r="B150" t="str">
            <v>한창구</v>
          </cell>
          <cell r="C150">
            <v>45896</v>
          </cell>
          <cell r="D150" t="str">
            <v>설화수 진설명작크림 (견) 5ML (AD 단용기</v>
          </cell>
          <cell r="F150">
            <v>35</v>
          </cell>
          <cell r="G150">
            <v>35</v>
          </cell>
          <cell r="H150">
            <v>35</v>
          </cell>
          <cell r="I150">
            <v>35</v>
          </cell>
          <cell r="J150">
            <v>10</v>
          </cell>
          <cell r="K150">
            <v>20</v>
          </cell>
          <cell r="L150">
            <v>45</v>
          </cell>
          <cell r="M150">
            <v>50</v>
          </cell>
          <cell r="N150">
            <v>60</v>
          </cell>
          <cell r="O150">
            <v>10</v>
          </cell>
          <cell r="P150">
            <v>10</v>
          </cell>
          <cell r="Q150">
            <v>10</v>
          </cell>
          <cell r="R150">
            <v>5</v>
          </cell>
        </row>
        <row r="151">
          <cell r="A151" t="str">
            <v>SI1627_20250812</v>
          </cell>
          <cell r="B151" t="str">
            <v>장세래</v>
          </cell>
          <cell r="C151">
            <v>45895</v>
          </cell>
          <cell r="D151" t="str">
            <v>설화수 진설명작크림 (견) 10ML (AD 용기받침</v>
          </cell>
          <cell r="F151">
            <v>80</v>
          </cell>
          <cell r="G151">
            <v>80</v>
          </cell>
          <cell r="H151">
            <v>80</v>
          </cell>
          <cell r="I151">
            <v>80</v>
          </cell>
          <cell r="J151">
            <v>5</v>
          </cell>
          <cell r="K151">
            <v>10</v>
          </cell>
          <cell r="L151">
            <v>30</v>
          </cell>
          <cell r="M151">
            <v>75</v>
          </cell>
          <cell r="N151">
            <v>80</v>
          </cell>
          <cell r="O151">
            <v>15</v>
          </cell>
          <cell r="P151">
            <v>20</v>
          </cell>
          <cell r="Q151">
            <v>20</v>
          </cell>
          <cell r="R151">
            <v>15</v>
          </cell>
        </row>
        <row r="152">
          <cell r="A152" t="str">
            <v>SI1633_20250812</v>
          </cell>
          <cell r="B152" t="str">
            <v>장세래</v>
          </cell>
          <cell r="C152">
            <v>45895</v>
          </cell>
          <cell r="D152" t="str">
            <v>설화수 진설명작크림 (견) 5ML (AD 용기받침</v>
          </cell>
          <cell r="F152">
            <v>80</v>
          </cell>
          <cell r="G152">
            <v>80</v>
          </cell>
          <cell r="H152">
            <v>80</v>
          </cell>
          <cell r="I152">
            <v>80</v>
          </cell>
          <cell r="J152">
            <v>5</v>
          </cell>
          <cell r="K152">
            <v>10</v>
          </cell>
          <cell r="L152">
            <v>20</v>
          </cell>
          <cell r="M152">
            <v>55</v>
          </cell>
          <cell r="N152">
            <v>60</v>
          </cell>
          <cell r="O152">
            <v>15</v>
          </cell>
          <cell r="P152">
            <v>20</v>
          </cell>
          <cell r="Q152">
            <v>20</v>
          </cell>
          <cell r="R152">
            <v>15</v>
          </cell>
        </row>
        <row r="153">
          <cell r="A153" t="str">
            <v>SI1625_20250812</v>
          </cell>
          <cell r="B153" t="str">
            <v>장세래</v>
          </cell>
          <cell r="C153">
            <v>45894</v>
          </cell>
          <cell r="D153" t="str">
            <v>설화수 진설명작크림 (견) 10ML (AD 외캡</v>
          </cell>
          <cell r="F153">
            <v>80</v>
          </cell>
          <cell r="G153">
            <v>80</v>
          </cell>
          <cell r="H153">
            <v>80</v>
          </cell>
          <cell r="I153">
            <v>80</v>
          </cell>
          <cell r="J153">
            <v>5</v>
          </cell>
          <cell r="K153">
            <v>10</v>
          </cell>
          <cell r="L153">
            <v>30</v>
          </cell>
          <cell r="M153">
            <v>75</v>
          </cell>
          <cell r="N153">
            <v>80</v>
          </cell>
          <cell r="O153">
            <v>15</v>
          </cell>
          <cell r="P153">
            <v>20</v>
          </cell>
          <cell r="Q153">
            <v>20</v>
          </cell>
          <cell r="R153">
            <v>15</v>
          </cell>
        </row>
        <row r="154">
          <cell r="A154" t="str">
            <v>SI1630_20250812</v>
          </cell>
          <cell r="B154" t="str">
            <v>장세래</v>
          </cell>
          <cell r="C154">
            <v>45894</v>
          </cell>
          <cell r="D154" t="str">
            <v>설화수 진설명작크림 (견) 5ML (AD 외캡</v>
          </cell>
          <cell r="F154">
            <v>80</v>
          </cell>
          <cell r="G154">
            <v>80</v>
          </cell>
          <cell r="H154">
            <v>80</v>
          </cell>
          <cell r="I154">
            <v>80</v>
          </cell>
          <cell r="J154">
            <v>5</v>
          </cell>
          <cell r="K154">
            <v>10</v>
          </cell>
          <cell r="L154">
            <v>20</v>
          </cell>
          <cell r="M154">
            <v>55</v>
          </cell>
          <cell r="N154">
            <v>60</v>
          </cell>
          <cell r="O154">
            <v>15</v>
          </cell>
          <cell r="P154">
            <v>20</v>
          </cell>
          <cell r="Q154">
            <v>20</v>
          </cell>
          <cell r="R154">
            <v>15</v>
          </cell>
        </row>
        <row r="155">
          <cell r="A155" t="str">
            <v>SI1626_20250812</v>
          </cell>
          <cell r="B155" t="str">
            <v>한창구</v>
          </cell>
          <cell r="C155">
            <v>45895</v>
          </cell>
          <cell r="D155" t="str">
            <v>설화수 진설명작크림 (견) 10ML (AD 내캡</v>
          </cell>
          <cell r="F155">
            <v>35</v>
          </cell>
          <cell r="G155">
            <v>35</v>
          </cell>
          <cell r="H155">
            <v>35</v>
          </cell>
          <cell r="I155">
            <v>35</v>
          </cell>
          <cell r="J155">
            <v>7</v>
          </cell>
          <cell r="K155">
            <v>20</v>
          </cell>
          <cell r="L155">
            <v>45</v>
          </cell>
          <cell r="M155">
            <v>50</v>
          </cell>
          <cell r="N155">
            <v>60</v>
          </cell>
          <cell r="O155">
            <v>8</v>
          </cell>
          <cell r="P155">
            <v>10</v>
          </cell>
          <cell r="Q155">
            <v>10</v>
          </cell>
          <cell r="R155">
            <v>5</v>
          </cell>
        </row>
        <row r="156">
          <cell r="A156" t="str">
            <v>SI1631_20250812</v>
          </cell>
          <cell r="B156" t="str">
            <v>한창구</v>
          </cell>
          <cell r="C156">
            <v>45895</v>
          </cell>
          <cell r="D156" t="str">
            <v>설화수 진설명작크림 (견) 5ML (AD 내캡</v>
          </cell>
          <cell r="F156">
            <v>35</v>
          </cell>
          <cell r="G156">
            <v>35</v>
          </cell>
          <cell r="H156">
            <v>35</v>
          </cell>
          <cell r="I156">
            <v>35</v>
          </cell>
          <cell r="J156">
            <v>7</v>
          </cell>
          <cell r="K156">
            <v>20</v>
          </cell>
          <cell r="L156">
            <v>45</v>
          </cell>
          <cell r="M156">
            <v>50</v>
          </cell>
          <cell r="N156">
            <v>60</v>
          </cell>
          <cell r="O156">
            <v>8</v>
          </cell>
          <cell r="P156">
            <v>10</v>
          </cell>
          <cell r="Q156">
            <v>10</v>
          </cell>
          <cell r="R156">
            <v>5</v>
          </cell>
        </row>
        <row r="157">
          <cell r="A157" t="str">
            <v>test</v>
          </cell>
          <cell r="B157" t="str">
            <v/>
          </cell>
          <cell r="C157" t="str">
            <v/>
          </cell>
          <cell r="D157" t="str">
            <v/>
          </cell>
        </row>
        <row r="158">
          <cell r="A158" t="str">
            <v>SI1634_20250822</v>
          </cell>
          <cell r="B158" t="str">
            <v>유재호</v>
          </cell>
          <cell r="C158">
            <v>45891</v>
          </cell>
          <cell r="D158" t="str">
            <v>설화수 진설명작크림 (견) 5ML (AD 사출덮개</v>
          </cell>
        </row>
        <row r="159">
          <cell r="A159" t="str">
            <v>SI1634_20250822</v>
          </cell>
          <cell r="B159" t="str">
            <v>유재호</v>
          </cell>
          <cell r="C159">
            <v>45891</v>
          </cell>
          <cell r="D159" t="str">
            <v>설화수 진설명작크림 (견) 5ML (AD 사출덮개</v>
          </cell>
        </row>
        <row r="160">
          <cell r="A160" t="str">
            <v>SI1614_20250812</v>
          </cell>
          <cell r="B160" t="str">
            <v>유재호</v>
          </cell>
          <cell r="C160">
            <v>45889</v>
          </cell>
          <cell r="D160" t="str">
            <v>설화수 진설명작크림 60ML (26AD 내캡</v>
          </cell>
          <cell r="F160">
            <v>100</v>
          </cell>
          <cell r="G160">
            <v>100</v>
          </cell>
          <cell r="H160">
            <v>100</v>
          </cell>
          <cell r="I160">
            <v>100</v>
          </cell>
          <cell r="J160">
            <v>5</v>
          </cell>
          <cell r="K160">
            <v>10</v>
          </cell>
          <cell r="L160">
            <v>30</v>
          </cell>
          <cell r="M160">
            <v>50</v>
          </cell>
          <cell r="N160">
            <v>80</v>
          </cell>
          <cell r="O160">
            <v>10</v>
          </cell>
          <cell r="P160">
            <v>10</v>
          </cell>
          <cell r="Q160">
            <v>5</v>
          </cell>
        </row>
        <row r="161">
          <cell r="A161" t="str">
            <v>SI1623_20250812</v>
          </cell>
          <cell r="B161" t="str">
            <v>유재호</v>
          </cell>
          <cell r="C161">
            <v>45888</v>
          </cell>
          <cell r="D161" t="str">
            <v>설화수 진설명작크림 리필 60ML (26AD 단캡</v>
          </cell>
          <cell r="F161">
            <v>50</v>
          </cell>
          <cell r="G161">
            <v>50</v>
          </cell>
          <cell r="H161">
            <v>50</v>
          </cell>
          <cell r="I161">
            <v>50</v>
          </cell>
          <cell r="J161">
            <v>5</v>
          </cell>
          <cell r="L161">
            <v>20</v>
          </cell>
          <cell r="M161">
            <v>30</v>
          </cell>
          <cell r="N161">
            <v>50</v>
          </cell>
          <cell r="O161">
            <v>10</v>
          </cell>
          <cell r="P161">
            <v>10</v>
          </cell>
          <cell r="Q161">
            <v>10</v>
          </cell>
          <cell r="R161">
            <v>10</v>
          </cell>
        </row>
        <row r="162">
          <cell r="A162" t="str">
            <v>SI1622_20250812</v>
          </cell>
          <cell r="B162" t="str">
            <v>유재호</v>
          </cell>
          <cell r="C162">
            <v>45883</v>
          </cell>
          <cell r="D162" t="str">
            <v>설화수 진설명작크림 60ML (26AD 스파츌러대 사출</v>
          </cell>
          <cell r="F162">
            <v>100</v>
          </cell>
          <cell r="G162">
            <v>100</v>
          </cell>
          <cell r="H162">
            <v>100</v>
          </cell>
          <cell r="I162">
            <v>100</v>
          </cell>
          <cell r="J162">
            <v>6</v>
          </cell>
          <cell r="K162">
            <v>10</v>
          </cell>
          <cell r="L162">
            <v>20</v>
          </cell>
          <cell r="M162">
            <v>30</v>
          </cell>
          <cell r="N162">
            <v>40</v>
          </cell>
          <cell r="O162">
            <v>10</v>
          </cell>
          <cell r="P162">
            <v>10</v>
          </cell>
          <cell r="Q162">
            <v>5</v>
          </cell>
        </row>
        <row r="163">
          <cell r="A163" t="str">
            <v>test_20250817</v>
          </cell>
          <cell r="B163" t="str">
            <v/>
          </cell>
          <cell r="C163" t="str">
            <v/>
          </cell>
          <cell r="D163" t="str">
            <v/>
          </cell>
        </row>
        <row r="164">
          <cell r="A164" t="str">
            <v>SI1620_20250812</v>
          </cell>
          <cell r="B164" t="str">
            <v>유재호</v>
          </cell>
          <cell r="C164">
            <v>45883</v>
          </cell>
          <cell r="D164" t="str">
            <v>설화수 진설명작크림 60ML (26AD 용기받침 사출</v>
          </cell>
          <cell r="F164">
            <v>100</v>
          </cell>
          <cell r="G164">
            <v>100</v>
          </cell>
          <cell r="H164">
            <v>100</v>
          </cell>
          <cell r="I164">
            <v>100</v>
          </cell>
          <cell r="J164">
            <v>3</v>
          </cell>
          <cell r="K164">
            <v>20</v>
          </cell>
          <cell r="L164">
            <v>30</v>
          </cell>
          <cell r="M164">
            <v>40</v>
          </cell>
          <cell r="N164">
            <v>60</v>
          </cell>
          <cell r="O164">
            <v>10</v>
          </cell>
          <cell r="P164">
            <v>10</v>
          </cell>
          <cell r="Q164">
            <v>10</v>
          </cell>
          <cell r="R164">
            <v>10</v>
          </cell>
        </row>
        <row r="165">
          <cell r="A165" t="str">
            <v>SI1617_20250812</v>
          </cell>
          <cell r="B165" t="str">
            <v>유재호</v>
          </cell>
          <cell r="C165">
            <v>45882</v>
          </cell>
          <cell r="D165" t="str">
            <v>설화수 진설명작크림 60ML (26AD 중용기</v>
          </cell>
          <cell r="F165">
            <v>100</v>
          </cell>
          <cell r="G165">
            <v>100</v>
          </cell>
          <cell r="H165">
            <v>100</v>
          </cell>
          <cell r="I165">
            <v>100</v>
          </cell>
          <cell r="K165">
            <v>10</v>
          </cell>
          <cell r="L165">
            <v>20</v>
          </cell>
          <cell r="M165">
            <v>30</v>
          </cell>
          <cell r="N165">
            <v>50</v>
          </cell>
          <cell r="O165">
            <v>5</v>
          </cell>
          <cell r="P165">
            <v>5</v>
          </cell>
          <cell r="Q165">
            <v>5</v>
          </cell>
        </row>
        <row r="166">
          <cell r="A166" t="str">
            <v>SI1621_20250812</v>
          </cell>
          <cell r="B166" t="str">
            <v>유재호</v>
          </cell>
          <cell r="C166">
            <v>45882</v>
          </cell>
          <cell r="D166" t="str">
            <v>설화수 진설명작크림 60ML (26AD 숄더장식 사출</v>
          </cell>
          <cell r="F166">
            <v>100</v>
          </cell>
          <cell r="G166">
            <v>100</v>
          </cell>
          <cell r="H166">
            <v>100</v>
          </cell>
          <cell r="I166">
            <v>100</v>
          </cell>
          <cell r="J166">
            <v>3</v>
          </cell>
          <cell r="K166">
            <v>10</v>
          </cell>
          <cell r="L166">
            <v>20</v>
          </cell>
          <cell r="M166">
            <v>30</v>
          </cell>
          <cell r="N166">
            <v>55</v>
          </cell>
          <cell r="O166">
            <v>10</v>
          </cell>
          <cell r="P166">
            <v>10</v>
          </cell>
          <cell r="Q166">
            <v>10</v>
          </cell>
          <cell r="R166">
            <v>10</v>
          </cell>
        </row>
        <row r="167">
          <cell r="A167" t="str">
            <v>SI1615_20250812</v>
          </cell>
          <cell r="B167" t="str">
            <v>유재호</v>
          </cell>
          <cell r="C167">
            <v>45882</v>
          </cell>
          <cell r="D167" t="str">
            <v>설화수 진설명작크림 60ML (26AD 캡장식-하단링</v>
          </cell>
          <cell r="F167">
            <v>100</v>
          </cell>
          <cell r="G167">
            <v>100</v>
          </cell>
          <cell r="H167">
            <v>100</v>
          </cell>
          <cell r="I167">
            <v>100</v>
          </cell>
          <cell r="J167">
            <v>3</v>
          </cell>
          <cell r="K167">
            <v>5</v>
          </cell>
          <cell r="L167">
            <v>10</v>
          </cell>
          <cell r="M167">
            <v>20</v>
          </cell>
          <cell r="N167">
            <v>38</v>
          </cell>
          <cell r="O167">
            <v>5</v>
          </cell>
          <cell r="P167">
            <v>5</v>
          </cell>
          <cell r="Q167">
            <v>5</v>
          </cell>
          <cell r="R167">
            <v>5</v>
          </cell>
        </row>
        <row r="168">
          <cell r="A168" t="str">
            <v>SI1611_20250807</v>
          </cell>
          <cell r="B168" t="str">
            <v>장세래</v>
          </cell>
          <cell r="C168">
            <v>45876</v>
          </cell>
          <cell r="D168" t="str">
            <v>홀리추얼 울트라 너리싱 어드밴스드 토너 150ML 내캡</v>
          </cell>
          <cell r="F168">
            <v>100</v>
          </cell>
          <cell r="G168">
            <v>100</v>
          </cell>
          <cell r="H168">
            <v>100</v>
          </cell>
          <cell r="I168">
            <v>100</v>
          </cell>
          <cell r="J168">
            <v>5</v>
          </cell>
          <cell r="K168">
            <v>10</v>
          </cell>
          <cell r="L168">
            <v>20</v>
          </cell>
          <cell r="M168">
            <v>40</v>
          </cell>
          <cell r="N168">
            <v>50</v>
          </cell>
          <cell r="O168">
            <v>5</v>
          </cell>
          <cell r="P168">
            <v>5</v>
          </cell>
          <cell r="Q168">
            <v>5</v>
          </cell>
          <cell r="R168">
            <v>5</v>
          </cell>
        </row>
        <row r="169">
          <cell r="A169" t="str">
            <v>SI1626_20250708</v>
          </cell>
          <cell r="B169" t="str">
            <v>유재호</v>
          </cell>
          <cell r="C169">
            <v>45869</v>
          </cell>
          <cell r="D169" t="str">
            <v>설화수 진설명작크림 (견) 10ML (AD 내캡</v>
          </cell>
          <cell r="F169">
            <v>25</v>
          </cell>
          <cell r="G169">
            <v>25</v>
          </cell>
          <cell r="H169">
            <v>25</v>
          </cell>
          <cell r="I169">
            <v>25</v>
          </cell>
          <cell r="J169">
            <v>10</v>
          </cell>
          <cell r="K169">
            <v>30</v>
          </cell>
          <cell r="L169">
            <v>50</v>
          </cell>
          <cell r="M169">
            <v>70</v>
          </cell>
          <cell r="N169">
            <v>10</v>
          </cell>
          <cell r="O169">
            <v>10</v>
          </cell>
          <cell r="P169">
            <v>10</v>
          </cell>
          <cell r="Q169">
            <v>10</v>
          </cell>
          <cell r="R169">
            <v>10</v>
          </cell>
        </row>
        <row r="170">
          <cell r="A170" t="str">
            <v>SI1631_20250708</v>
          </cell>
          <cell r="B170" t="str">
            <v>유재호</v>
          </cell>
          <cell r="C170">
            <v>45869</v>
          </cell>
          <cell r="D170" t="str">
            <v>설화수 진설명작크림 (견) 5ML (AD 내캡</v>
          </cell>
          <cell r="F170">
            <v>25</v>
          </cell>
          <cell r="G170">
            <v>25</v>
          </cell>
          <cell r="H170">
            <v>25</v>
          </cell>
          <cell r="I170">
            <v>25</v>
          </cell>
          <cell r="J170">
            <v>5</v>
          </cell>
          <cell r="K170">
            <v>10</v>
          </cell>
          <cell r="L170">
            <v>30</v>
          </cell>
          <cell r="M170">
            <v>40</v>
          </cell>
          <cell r="N170">
            <v>60</v>
          </cell>
          <cell r="O170">
            <v>10</v>
          </cell>
          <cell r="P170">
            <v>10</v>
          </cell>
          <cell r="Q170">
            <v>10</v>
          </cell>
          <cell r="R170">
            <v>10</v>
          </cell>
        </row>
        <row r="171">
          <cell r="A171" t="str">
            <v>SI1632_20250708</v>
          </cell>
          <cell r="B171" t="str">
            <v>유재호</v>
          </cell>
          <cell r="C171">
            <v>45868</v>
          </cell>
          <cell r="D171" t="str">
            <v>설화수 진설명작크림 (견) 5ML (AD 단용기</v>
          </cell>
          <cell r="F171">
            <v>25</v>
          </cell>
          <cell r="G171">
            <v>25</v>
          </cell>
          <cell r="H171">
            <v>25</v>
          </cell>
          <cell r="I171">
            <v>25</v>
          </cell>
          <cell r="J171">
            <v>5</v>
          </cell>
          <cell r="K171">
            <v>10</v>
          </cell>
          <cell r="L171">
            <v>30</v>
          </cell>
          <cell r="M171">
            <v>40</v>
          </cell>
          <cell r="N171">
            <v>60</v>
          </cell>
          <cell r="O171">
            <v>10</v>
          </cell>
          <cell r="P171">
            <v>10</v>
          </cell>
          <cell r="Q171">
            <v>10</v>
          </cell>
          <cell r="R171">
            <v>10</v>
          </cell>
        </row>
        <row r="172">
          <cell r="A172" t="str">
            <v>SI1628_20250708</v>
          </cell>
          <cell r="B172" t="str">
            <v>유재호</v>
          </cell>
          <cell r="C172">
            <v>45868</v>
          </cell>
          <cell r="D172" t="str">
            <v>설화수 진설명작크림 (견) 10ML (AD 단용기</v>
          </cell>
          <cell r="F172">
            <v>25</v>
          </cell>
          <cell r="G172">
            <v>25</v>
          </cell>
          <cell r="H172">
            <v>25</v>
          </cell>
          <cell r="I172">
            <v>25</v>
          </cell>
          <cell r="J172">
            <v>5</v>
          </cell>
          <cell r="K172">
            <v>10</v>
          </cell>
          <cell r="L172">
            <v>30</v>
          </cell>
          <cell r="M172">
            <v>50</v>
          </cell>
          <cell r="N172">
            <v>70</v>
          </cell>
          <cell r="O172">
            <v>10</v>
          </cell>
          <cell r="P172">
            <v>10</v>
          </cell>
          <cell r="Q172">
            <v>10</v>
          </cell>
          <cell r="R172">
            <v>10</v>
          </cell>
        </row>
        <row r="173">
          <cell r="A173" t="str">
            <v>SI1625_20250708</v>
          </cell>
          <cell r="B173" t="str">
            <v>유재호</v>
          </cell>
          <cell r="C173">
            <v>45867</v>
          </cell>
          <cell r="D173" t="str">
            <v>설화수 진설명작크림 (견) 10ML (AD 외캡</v>
          </cell>
          <cell r="F173">
            <v>25</v>
          </cell>
          <cell r="G173">
            <v>25</v>
          </cell>
          <cell r="H173">
            <v>25</v>
          </cell>
          <cell r="I173">
            <v>25</v>
          </cell>
          <cell r="J173">
            <v>5</v>
          </cell>
          <cell r="K173">
            <v>10</v>
          </cell>
          <cell r="L173">
            <v>40</v>
          </cell>
          <cell r="M173">
            <v>60</v>
          </cell>
          <cell r="N173">
            <v>80</v>
          </cell>
          <cell r="O173">
            <v>10</v>
          </cell>
          <cell r="P173">
            <v>10</v>
          </cell>
          <cell r="Q173">
            <v>10</v>
          </cell>
          <cell r="R173">
            <v>5</v>
          </cell>
        </row>
        <row r="174">
          <cell r="A174" t="str">
            <v>SI1630_20250708</v>
          </cell>
          <cell r="B174" t="str">
            <v>유재호</v>
          </cell>
          <cell r="C174">
            <v>45867</v>
          </cell>
          <cell r="D174" t="str">
            <v>설화수 진설명작크림 (견) 5ML (AD 외캡</v>
          </cell>
          <cell r="F174">
            <v>25</v>
          </cell>
          <cell r="G174">
            <v>25</v>
          </cell>
          <cell r="H174">
            <v>25</v>
          </cell>
          <cell r="I174">
            <v>25</v>
          </cell>
          <cell r="J174">
            <v>5</v>
          </cell>
          <cell r="K174">
            <v>10</v>
          </cell>
          <cell r="L174">
            <v>40</v>
          </cell>
          <cell r="M174">
            <v>60</v>
          </cell>
          <cell r="N174">
            <v>80</v>
          </cell>
          <cell r="O174">
            <v>10</v>
          </cell>
          <cell r="P174">
            <v>10</v>
          </cell>
          <cell r="Q174">
            <v>10</v>
          </cell>
          <cell r="R174">
            <v>5</v>
          </cell>
        </row>
        <row r="175">
          <cell r="A175" t="str">
            <v>SI1633_20250708</v>
          </cell>
          <cell r="B175" t="str">
            <v>유재호</v>
          </cell>
          <cell r="C175">
            <v>45868</v>
          </cell>
          <cell r="D175" t="str">
            <v>설화수 진설명작크림 (견) 5ML (AD 용기받침</v>
          </cell>
          <cell r="F175">
            <v>25</v>
          </cell>
          <cell r="G175">
            <v>25</v>
          </cell>
          <cell r="H175">
            <v>25</v>
          </cell>
          <cell r="I175">
            <v>25</v>
          </cell>
          <cell r="J175">
            <v>5</v>
          </cell>
          <cell r="K175">
            <v>10</v>
          </cell>
          <cell r="L175">
            <v>30</v>
          </cell>
          <cell r="M175">
            <v>50</v>
          </cell>
          <cell r="N175">
            <v>60</v>
          </cell>
          <cell r="O175">
            <v>10</v>
          </cell>
          <cell r="P175">
            <v>10</v>
          </cell>
          <cell r="Q175">
            <v>10</v>
          </cell>
          <cell r="R175">
            <v>5</v>
          </cell>
        </row>
        <row r="176">
          <cell r="A176" t="str">
            <v>SI1627_20250708</v>
          </cell>
          <cell r="B176" t="str">
            <v>유재호</v>
          </cell>
          <cell r="C176">
            <v>45867</v>
          </cell>
          <cell r="D176" t="str">
            <v>설화수 진설명작크림 (견) 10ML (AD 용기받침</v>
          </cell>
          <cell r="F176">
            <v>25</v>
          </cell>
          <cell r="G176">
            <v>25</v>
          </cell>
          <cell r="H176">
            <v>25</v>
          </cell>
          <cell r="I176">
            <v>25</v>
          </cell>
          <cell r="J176">
            <v>5</v>
          </cell>
          <cell r="K176">
            <v>10</v>
          </cell>
          <cell r="L176">
            <v>30</v>
          </cell>
          <cell r="M176">
            <v>50</v>
          </cell>
          <cell r="N176">
            <v>70</v>
          </cell>
          <cell r="O176">
            <v>10</v>
          </cell>
          <cell r="P176">
            <v>10</v>
          </cell>
          <cell r="Q176">
            <v>10</v>
          </cell>
          <cell r="R176">
            <v>10</v>
          </cell>
        </row>
        <row r="177">
          <cell r="A177" t="str">
            <v>SI1619_20250708</v>
          </cell>
          <cell r="B177" t="str">
            <v>유재호</v>
          </cell>
          <cell r="C177">
            <v>45862</v>
          </cell>
          <cell r="D177" t="str">
            <v>설화수 진설명작크림 60ML (26AD 외용기</v>
          </cell>
          <cell r="F177">
            <v>50</v>
          </cell>
          <cell r="G177">
            <v>50</v>
          </cell>
          <cell r="H177">
            <v>50</v>
          </cell>
          <cell r="I177">
            <v>50</v>
          </cell>
          <cell r="J177">
            <v>5</v>
          </cell>
          <cell r="K177">
            <v>20</v>
          </cell>
          <cell r="L177">
            <v>40</v>
          </cell>
          <cell r="M177">
            <v>60</v>
          </cell>
          <cell r="N177">
            <v>80</v>
          </cell>
          <cell r="O177">
            <v>15</v>
          </cell>
          <cell r="P177">
            <v>15</v>
          </cell>
          <cell r="Q177">
            <v>15</v>
          </cell>
          <cell r="R177">
            <v>15</v>
          </cell>
        </row>
        <row r="178">
          <cell r="A178" t="str">
            <v>SI1623_20250708</v>
          </cell>
          <cell r="B178" t="str">
            <v>유재호</v>
          </cell>
          <cell r="C178">
            <v>45862</v>
          </cell>
          <cell r="D178" t="str">
            <v>설화수 진설명작크림 리필 60ML (26AD 단캡</v>
          </cell>
          <cell r="F178">
            <v>50</v>
          </cell>
          <cell r="G178">
            <v>50</v>
          </cell>
          <cell r="H178">
            <v>50</v>
          </cell>
          <cell r="I178">
            <v>50</v>
          </cell>
          <cell r="J178">
            <v>5</v>
          </cell>
          <cell r="K178">
            <v>2</v>
          </cell>
          <cell r="L178">
            <v>20</v>
          </cell>
          <cell r="M178">
            <v>30</v>
          </cell>
          <cell r="N178">
            <v>50</v>
          </cell>
          <cell r="O178">
            <v>10</v>
          </cell>
          <cell r="P178">
            <v>15</v>
          </cell>
          <cell r="Q178">
            <v>15</v>
          </cell>
          <cell r="R178">
            <v>15</v>
          </cell>
        </row>
        <row r="179">
          <cell r="A179" t="str">
            <v>SI1616_20250708</v>
          </cell>
          <cell r="B179" t="str">
            <v>유재호</v>
          </cell>
          <cell r="C179">
            <v>45861</v>
          </cell>
          <cell r="D179" t="str">
            <v>설화수 진설명작크림 60ML (26AD 사출덮개</v>
          </cell>
          <cell r="F179">
            <v>40</v>
          </cell>
          <cell r="G179">
            <v>45</v>
          </cell>
          <cell r="H179">
            <v>45</v>
          </cell>
          <cell r="I179">
            <v>45</v>
          </cell>
          <cell r="J179">
            <v>5</v>
          </cell>
          <cell r="K179">
            <v>2</v>
          </cell>
          <cell r="L179">
            <v>10</v>
          </cell>
          <cell r="M179">
            <v>25</v>
          </cell>
          <cell r="N179">
            <v>30</v>
          </cell>
          <cell r="O179">
            <v>5</v>
          </cell>
          <cell r="P179">
            <v>5</v>
          </cell>
          <cell r="Q179">
            <v>5</v>
          </cell>
          <cell r="R179">
            <v>5</v>
          </cell>
        </row>
        <row r="180">
          <cell r="A180" t="str">
            <v>SI1629_20250708</v>
          </cell>
          <cell r="B180" t="str">
            <v>유재호</v>
          </cell>
          <cell r="C180">
            <v>45861</v>
          </cell>
          <cell r="D180" t="str">
            <v>설화수 진설명작크림 (견) 10ML (AD 사출덮개</v>
          </cell>
          <cell r="F180">
            <v>40</v>
          </cell>
          <cell r="G180">
            <v>45</v>
          </cell>
          <cell r="H180">
            <v>45</v>
          </cell>
          <cell r="I180">
            <v>45</v>
          </cell>
          <cell r="J180">
            <v>5</v>
          </cell>
          <cell r="K180">
            <v>2</v>
          </cell>
          <cell r="L180">
            <v>10</v>
          </cell>
          <cell r="M180">
            <v>25</v>
          </cell>
          <cell r="N180">
            <v>30</v>
          </cell>
          <cell r="O180">
            <v>5</v>
          </cell>
          <cell r="P180">
            <v>5</v>
          </cell>
          <cell r="Q180">
            <v>5</v>
          </cell>
          <cell r="R180">
            <v>5</v>
          </cell>
        </row>
        <row r="181">
          <cell r="A181" t="str">
            <v>SI1634_20250723</v>
          </cell>
          <cell r="B181" t="str">
            <v>유재호</v>
          </cell>
          <cell r="C181">
            <v>45861</v>
          </cell>
          <cell r="D181" t="str">
            <v>설화수 진설명작크림 (견) 5ML (AD 사출덮개</v>
          </cell>
          <cell r="F181">
            <v>40</v>
          </cell>
          <cell r="G181">
            <v>45</v>
          </cell>
          <cell r="H181">
            <v>45</v>
          </cell>
          <cell r="I181">
            <v>45</v>
          </cell>
          <cell r="J181">
            <v>5</v>
          </cell>
          <cell r="K181">
            <v>2</v>
          </cell>
          <cell r="L181">
            <v>10</v>
          </cell>
          <cell r="M181">
            <v>20</v>
          </cell>
          <cell r="N181">
            <v>25</v>
          </cell>
          <cell r="O181">
            <v>5</v>
          </cell>
          <cell r="P181">
            <v>5</v>
          </cell>
          <cell r="Q181">
            <v>5</v>
          </cell>
          <cell r="R181">
            <v>5</v>
          </cell>
        </row>
        <row r="182">
          <cell r="A182" t="str">
            <v>SI1622_20250708</v>
          </cell>
          <cell r="B182" t="str">
            <v>유재호</v>
          </cell>
          <cell r="C182">
            <v>45859</v>
          </cell>
          <cell r="D182" t="str">
            <v>설화수 진설명작크림 60ML (26AD 스파츌러대 사출</v>
          </cell>
          <cell r="F182">
            <v>40</v>
          </cell>
          <cell r="G182">
            <v>40</v>
          </cell>
          <cell r="H182">
            <v>40</v>
          </cell>
          <cell r="I182">
            <v>40</v>
          </cell>
          <cell r="J182">
            <v>5</v>
          </cell>
          <cell r="K182">
            <v>10</v>
          </cell>
          <cell r="L182">
            <v>20</v>
          </cell>
          <cell r="M182">
            <v>30</v>
          </cell>
          <cell r="N182">
            <v>40</v>
          </cell>
          <cell r="O182">
            <v>5</v>
          </cell>
          <cell r="P182">
            <v>5</v>
          </cell>
          <cell r="Q182">
            <v>5</v>
          </cell>
          <cell r="R182">
            <v>3</v>
          </cell>
        </row>
        <row r="183">
          <cell r="A183" t="str">
            <v>SI1618_20250708</v>
          </cell>
          <cell r="B183" t="str">
            <v>유재호</v>
          </cell>
          <cell r="C183">
            <v>45860</v>
          </cell>
          <cell r="D183" t="str">
            <v>설화수 진설명작크림 60ML (26AD 내용기</v>
          </cell>
          <cell r="F183">
            <v>40</v>
          </cell>
          <cell r="G183">
            <v>40</v>
          </cell>
          <cell r="H183">
            <v>40</v>
          </cell>
          <cell r="I183">
            <v>40</v>
          </cell>
          <cell r="J183">
            <v>5</v>
          </cell>
          <cell r="K183">
            <v>20</v>
          </cell>
          <cell r="L183">
            <v>30</v>
          </cell>
          <cell r="M183">
            <v>55</v>
          </cell>
          <cell r="N183">
            <v>60</v>
          </cell>
          <cell r="O183">
            <v>5</v>
          </cell>
          <cell r="P183">
            <v>5</v>
          </cell>
          <cell r="Q183">
            <v>5</v>
          </cell>
          <cell r="R183">
            <v>5</v>
          </cell>
        </row>
        <row r="184">
          <cell r="A184" t="str">
            <v>SI1620_20250708</v>
          </cell>
          <cell r="B184" t="str">
            <v>유재호</v>
          </cell>
          <cell r="C184">
            <v>45859</v>
          </cell>
          <cell r="D184" t="str">
            <v>설화수 진설명작크림 60ML (26AD 용기받침 사출</v>
          </cell>
          <cell r="F184">
            <v>40</v>
          </cell>
          <cell r="G184">
            <v>40</v>
          </cell>
          <cell r="H184">
            <v>40</v>
          </cell>
          <cell r="I184">
            <v>40</v>
          </cell>
          <cell r="J184">
            <v>5</v>
          </cell>
          <cell r="K184">
            <v>30</v>
          </cell>
          <cell r="L184">
            <v>40</v>
          </cell>
          <cell r="M184">
            <v>50</v>
          </cell>
          <cell r="N184">
            <v>65</v>
          </cell>
          <cell r="O184">
            <v>5</v>
          </cell>
          <cell r="P184">
            <v>5</v>
          </cell>
          <cell r="Q184">
            <v>5</v>
          </cell>
          <cell r="R184">
            <v>5</v>
          </cell>
        </row>
        <row r="185">
          <cell r="A185" t="str">
            <v>SI1621_20250708</v>
          </cell>
          <cell r="B185" t="str">
            <v>유재호</v>
          </cell>
          <cell r="C185">
            <v>45859</v>
          </cell>
          <cell r="D185" t="str">
            <v>설화수 진설명작크림 60ML (26AD 숄더장식 사출</v>
          </cell>
          <cell r="F185">
            <v>40</v>
          </cell>
          <cell r="G185">
            <v>40</v>
          </cell>
          <cell r="H185">
            <v>40</v>
          </cell>
          <cell r="I185">
            <v>40</v>
          </cell>
          <cell r="J185">
            <v>5</v>
          </cell>
          <cell r="K185">
            <v>20</v>
          </cell>
          <cell r="L185">
            <v>30</v>
          </cell>
          <cell r="M185">
            <v>40</v>
          </cell>
          <cell r="N185">
            <v>55</v>
          </cell>
          <cell r="O185">
            <v>5</v>
          </cell>
          <cell r="P185">
            <v>5</v>
          </cell>
          <cell r="Q185">
            <v>5</v>
          </cell>
          <cell r="R185">
            <v>5</v>
          </cell>
        </row>
        <row r="186">
          <cell r="A186" t="str">
            <v>SI1617_20250708</v>
          </cell>
          <cell r="B186" t="str">
            <v>장세래</v>
          </cell>
          <cell r="C186">
            <v>45855</v>
          </cell>
          <cell r="D186" t="str">
            <v>설화수 진설명작크림 60ML (26AD 중용기</v>
          </cell>
          <cell r="F186">
            <v>50</v>
          </cell>
          <cell r="G186">
            <v>50</v>
          </cell>
          <cell r="H186">
            <v>50</v>
          </cell>
          <cell r="I186">
            <v>50</v>
          </cell>
          <cell r="J186">
            <v>5</v>
          </cell>
          <cell r="K186">
            <v>20</v>
          </cell>
          <cell r="L186">
            <v>30</v>
          </cell>
          <cell r="M186">
            <v>35</v>
          </cell>
          <cell r="N186">
            <v>40</v>
          </cell>
          <cell r="O186">
            <v>15</v>
          </cell>
          <cell r="P186">
            <v>15</v>
          </cell>
          <cell r="Q186">
            <v>15</v>
          </cell>
          <cell r="R186">
            <v>15</v>
          </cell>
        </row>
        <row r="187">
          <cell r="A187" t="str">
            <v>SI1615_20250708</v>
          </cell>
          <cell r="B187" t="str">
            <v>장세래</v>
          </cell>
          <cell r="C187">
            <v>45854</v>
          </cell>
          <cell r="D187" t="str">
            <v>설화수 진설명작크림 60ML (26AD 캡장식-하단링</v>
          </cell>
          <cell r="F187">
            <v>50</v>
          </cell>
          <cell r="G187">
            <v>50</v>
          </cell>
          <cell r="H187">
            <v>50</v>
          </cell>
          <cell r="I187">
            <v>50</v>
          </cell>
          <cell r="J187">
            <v>5</v>
          </cell>
          <cell r="K187">
            <v>20</v>
          </cell>
          <cell r="L187">
            <v>30</v>
          </cell>
          <cell r="M187">
            <v>35</v>
          </cell>
          <cell r="N187">
            <v>40</v>
          </cell>
          <cell r="O187">
            <v>5</v>
          </cell>
          <cell r="P187">
            <v>5</v>
          </cell>
          <cell r="Q187">
            <v>5</v>
          </cell>
          <cell r="R187">
            <v>5</v>
          </cell>
        </row>
        <row r="188">
          <cell r="A188" t="str">
            <v>SI1609_20250708</v>
          </cell>
          <cell r="B188" t="str">
            <v>장세래</v>
          </cell>
          <cell r="C188">
            <v>45854</v>
          </cell>
          <cell r="D188" t="str">
            <v>홀리추얼 울트라 너리싱 어드밴스드 토너 150ML 외캡 사출</v>
          </cell>
          <cell r="F188">
            <v>50</v>
          </cell>
          <cell r="G188">
            <v>50</v>
          </cell>
          <cell r="H188">
            <v>50</v>
          </cell>
          <cell r="I188">
            <v>50</v>
          </cell>
          <cell r="J188">
            <v>5</v>
          </cell>
          <cell r="K188">
            <v>20</v>
          </cell>
          <cell r="L188">
            <v>30</v>
          </cell>
          <cell r="M188">
            <v>55</v>
          </cell>
          <cell r="N188">
            <v>60</v>
          </cell>
          <cell r="O188">
            <v>5</v>
          </cell>
          <cell r="P188">
            <v>5</v>
          </cell>
          <cell r="Q188">
            <v>5</v>
          </cell>
          <cell r="R188">
            <v>5</v>
          </cell>
        </row>
        <row r="189">
          <cell r="A189" t="str">
            <v>SI1614_20250708</v>
          </cell>
          <cell r="B189" t="str">
            <v>장세래</v>
          </cell>
          <cell r="C189">
            <v>45853</v>
          </cell>
          <cell r="D189" t="str">
            <v>설화수 진설명작크림 60ML (26AD 내캡</v>
          </cell>
          <cell r="F189">
            <v>30</v>
          </cell>
          <cell r="G189">
            <v>30</v>
          </cell>
          <cell r="H189">
            <v>30</v>
          </cell>
          <cell r="I189">
            <v>30</v>
          </cell>
          <cell r="J189">
            <v>5</v>
          </cell>
          <cell r="K189">
            <v>20</v>
          </cell>
          <cell r="L189">
            <v>30</v>
          </cell>
          <cell r="M189">
            <v>55</v>
          </cell>
          <cell r="N189">
            <v>60</v>
          </cell>
          <cell r="O189">
            <v>5</v>
          </cell>
          <cell r="P189">
            <v>5</v>
          </cell>
          <cell r="Q189">
            <v>5</v>
          </cell>
          <cell r="R189">
            <v>5</v>
          </cell>
        </row>
        <row r="190">
          <cell r="A190" t="str">
            <v>SI1610_20250703</v>
          </cell>
          <cell r="B190" t="str">
            <v>장세래</v>
          </cell>
          <cell r="C190">
            <v>45841</v>
          </cell>
          <cell r="D190" t="str">
            <v>홀리추얼 울트라 너리싱 어드밴스드 토너 150ML 캡장식 사출</v>
          </cell>
          <cell r="F190">
            <v>30</v>
          </cell>
          <cell r="G190">
            <v>30</v>
          </cell>
          <cell r="H190">
            <v>30</v>
          </cell>
          <cell r="I190">
            <v>30</v>
          </cell>
          <cell r="J190">
            <v>5</v>
          </cell>
          <cell r="K190">
            <v>15</v>
          </cell>
          <cell r="L190">
            <v>25</v>
          </cell>
          <cell r="M190">
            <v>35</v>
          </cell>
          <cell r="N190">
            <v>40</v>
          </cell>
          <cell r="O190">
            <v>5</v>
          </cell>
          <cell r="P190">
            <v>5</v>
          </cell>
          <cell r="Q190">
            <v>5</v>
          </cell>
          <cell r="R190">
            <v>5</v>
          </cell>
        </row>
        <row r="191">
          <cell r="A191" t="str">
            <v>SI1609_20250703</v>
          </cell>
          <cell r="B191">
            <v>0</v>
          </cell>
          <cell r="C191">
            <v>45841</v>
          </cell>
          <cell r="D191" t="str">
            <v>홀리추얼 울트라 너리싱 어드밴스드 토너 150ML 외캡 사출</v>
          </cell>
          <cell r="F191">
            <v>100</v>
          </cell>
          <cell r="G191">
            <v>100</v>
          </cell>
          <cell r="H191">
            <v>100</v>
          </cell>
          <cell r="I191">
            <v>100</v>
          </cell>
          <cell r="J191">
            <v>5</v>
          </cell>
          <cell r="K191">
            <v>20</v>
          </cell>
          <cell r="L191">
            <v>30</v>
          </cell>
          <cell r="M191">
            <v>75</v>
          </cell>
          <cell r="N191">
            <v>80</v>
          </cell>
          <cell r="O191">
            <v>5</v>
          </cell>
          <cell r="P191">
            <v>5</v>
          </cell>
          <cell r="Q191">
            <v>5</v>
          </cell>
          <cell r="R191">
            <v>5</v>
          </cell>
        </row>
        <row r="192">
          <cell r="A192" t="str">
            <v>SI1611_20250703</v>
          </cell>
          <cell r="B192" t="str">
            <v>장세래</v>
          </cell>
          <cell r="C192">
            <v>45841</v>
          </cell>
          <cell r="D192" t="str">
            <v>홀리추얼 울트라 너리싱 어드밴스드 토너 150ML 내캡</v>
          </cell>
          <cell r="F192">
            <v>100</v>
          </cell>
          <cell r="G192">
            <v>100</v>
          </cell>
          <cell r="H192">
            <v>100</v>
          </cell>
          <cell r="I192">
            <v>100</v>
          </cell>
          <cell r="J192">
            <v>5</v>
          </cell>
          <cell r="K192">
            <v>10</v>
          </cell>
          <cell r="L192">
            <v>20</v>
          </cell>
          <cell r="M192">
            <v>40</v>
          </cell>
          <cell r="N192">
            <v>50</v>
          </cell>
          <cell r="O192">
            <v>5</v>
          </cell>
          <cell r="P192">
            <v>5</v>
          </cell>
          <cell r="Q192">
            <v>5</v>
          </cell>
          <cell r="R192">
            <v>5</v>
          </cell>
        </row>
        <row r="193">
          <cell r="A193" t="str">
            <v>SI1606_20250630</v>
          </cell>
          <cell r="B193" t="str">
            <v>유재호</v>
          </cell>
          <cell r="C193">
            <v>45840</v>
          </cell>
          <cell r="D193" t="str">
            <v>(EUSA)라네즈 실키앤스무스 토너 150mL (26 내캡</v>
          </cell>
          <cell r="F193">
            <v>50</v>
          </cell>
          <cell r="G193">
            <v>50</v>
          </cell>
          <cell r="H193">
            <v>50</v>
          </cell>
          <cell r="I193">
            <v>50</v>
          </cell>
          <cell r="J193">
            <v>2</v>
          </cell>
          <cell r="K193">
            <v>20</v>
          </cell>
          <cell r="L193">
            <v>30</v>
          </cell>
          <cell r="M193">
            <v>65</v>
          </cell>
          <cell r="N193">
            <v>70</v>
          </cell>
          <cell r="O193">
            <v>5</v>
          </cell>
          <cell r="P193">
            <v>20</v>
          </cell>
          <cell r="Q193">
            <v>26</v>
          </cell>
          <cell r="R193">
            <v>5</v>
          </cell>
        </row>
        <row r="194">
          <cell r="A194" t="str">
            <v>SI1600_20250623</v>
          </cell>
          <cell r="B194" t="str">
            <v>유재호</v>
          </cell>
          <cell r="C194">
            <v>45835</v>
          </cell>
          <cell r="D194" t="str">
            <v>미쟝센 퍼펙트 오일 인퓨전 헤어 마스크150g(25 단캡</v>
          </cell>
          <cell r="F194">
            <v>50</v>
          </cell>
          <cell r="G194">
            <v>50</v>
          </cell>
          <cell r="H194">
            <v>50</v>
          </cell>
          <cell r="I194">
            <v>50</v>
          </cell>
          <cell r="K194">
            <v>20</v>
          </cell>
          <cell r="L194">
            <v>50</v>
          </cell>
          <cell r="M194">
            <v>65</v>
          </cell>
          <cell r="N194">
            <v>70</v>
          </cell>
        </row>
        <row r="195">
          <cell r="A195" t="str">
            <v>SI1601_20250618</v>
          </cell>
          <cell r="B195" t="str">
            <v>한창구</v>
          </cell>
          <cell r="C195">
            <v>45835</v>
          </cell>
          <cell r="D195" t="str">
            <v>미쟝센 퍼펙트 오일 인퓨전 헤어 마스크150g(25 단용기</v>
          </cell>
          <cell r="F195">
            <v>80</v>
          </cell>
          <cell r="G195">
            <v>80</v>
          </cell>
          <cell r="H195">
            <v>80</v>
          </cell>
          <cell r="I195">
            <v>80</v>
          </cell>
          <cell r="J195">
            <v>8</v>
          </cell>
          <cell r="K195">
            <v>30</v>
          </cell>
          <cell r="L195">
            <v>80</v>
          </cell>
          <cell r="M195">
            <v>150</v>
          </cell>
          <cell r="N195">
            <v>160</v>
          </cell>
          <cell r="O195">
            <v>5</v>
          </cell>
          <cell r="P195">
            <v>10</v>
          </cell>
          <cell r="Q195">
            <v>10</v>
          </cell>
          <cell r="R195">
            <v>5</v>
          </cell>
        </row>
        <row r="196">
          <cell r="A196" t="str">
            <v>SI1606_20250618</v>
          </cell>
          <cell r="B196" t="str">
            <v>장세래</v>
          </cell>
          <cell r="C196">
            <v>45833</v>
          </cell>
          <cell r="D196" t="str">
            <v>(EUSA)라네즈 실키앤스무스 토너 150mL (26 내캡</v>
          </cell>
          <cell r="F196">
            <v>50</v>
          </cell>
          <cell r="G196">
            <v>50</v>
          </cell>
          <cell r="H196">
            <v>50</v>
          </cell>
          <cell r="I196">
            <v>50</v>
          </cell>
          <cell r="J196">
            <v>5</v>
          </cell>
          <cell r="K196">
            <v>20</v>
          </cell>
          <cell r="L196">
            <v>40</v>
          </cell>
          <cell r="M196">
            <v>65</v>
          </cell>
          <cell r="N196">
            <v>70</v>
          </cell>
          <cell r="O196">
            <v>5</v>
          </cell>
          <cell r="P196">
            <v>20</v>
          </cell>
          <cell r="Q196">
            <v>20</v>
          </cell>
          <cell r="R196">
            <v>5</v>
          </cell>
        </row>
        <row r="197">
          <cell r="A197" t="str">
            <v>SI1611_20250623</v>
          </cell>
          <cell r="B197" t="str">
            <v>장세래</v>
          </cell>
          <cell r="C197">
            <v>45833</v>
          </cell>
          <cell r="D197" t="str">
            <v>홀리추얼 울트라 너리싱 어드밴스드 토너 150ML 내캡</v>
          </cell>
          <cell r="F197">
            <v>30</v>
          </cell>
          <cell r="G197">
            <v>30</v>
          </cell>
          <cell r="H197">
            <v>30</v>
          </cell>
          <cell r="I197">
            <v>30</v>
          </cell>
          <cell r="J197">
            <v>5</v>
          </cell>
          <cell r="K197">
            <v>20</v>
          </cell>
          <cell r="L197">
            <v>30</v>
          </cell>
          <cell r="M197">
            <v>40</v>
          </cell>
          <cell r="N197">
            <v>50</v>
          </cell>
          <cell r="O197">
            <v>3</v>
          </cell>
          <cell r="P197">
            <v>3</v>
          </cell>
          <cell r="Q197">
            <v>3</v>
          </cell>
          <cell r="R197">
            <v>3</v>
          </cell>
        </row>
        <row r="198">
          <cell r="A198" t="str">
            <v>SI1609_20250623</v>
          </cell>
          <cell r="B198" t="str">
            <v>장세래</v>
          </cell>
          <cell r="C198">
            <v>45832</v>
          </cell>
          <cell r="D198" t="str">
            <v>홀리추얼 울트라 너리싱 어드밴스드 토너 150ML 외캡 사출</v>
          </cell>
          <cell r="F198">
            <v>30</v>
          </cell>
          <cell r="G198">
            <v>30</v>
          </cell>
          <cell r="H198">
            <v>30</v>
          </cell>
          <cell r="I198">
            <v>30</v>
          </cell>
          <cell r="J198">
            <v>5</v>
          </cell>
          <cell r="K198">
            <v>25</v>
          </cell>
          <cell r="L198">
            <v>45</v>
          </cell>
          <cell r="M198">
            <v>65</v>
          </cell>
          <cell r="N198">
            <v>70</v>
          </cell>
          <cell r="O198">
            <v>5</v>
          </cell>
          <cell r="P198">
            <v>5</v>
          </cell>
          <cell r="Q198">
            <v>5</v>
          </cell>
          <cell r="R198">
            <v>5</v>
          </cell>
        </row>
        <row r="199">
          <cell r="A199" t="str">
            <v>SI1610_20250623</v>
          </cell>
          <cell r="B199" t="str">
            <v>장세래</v>
          </cell>
          <cell r="C199">
            <v>45832</v>
          </cell>
          <cell r="D199" t="str">
            <v>홀리추얼 울트라 너리싱 어드밴스드 토너 150ML 캡장식 사출</v>
          </cell>
          <cell r="F199">
            <v>30</v>
          </cell>
          <cell r="G199">
            <v>30</v>
          </cell>
          <cell r="H199">
            <v>30</v>
          </cell>
          <cell r="I199">
            <v>30</v>
          </cell>
          <cell r="J199">
            <v>5</v>
          </cell>
          <cell r="K199">
            <v>15</v>
          </cell>
          <cell r="L199">
            <v>25</v>
          </cell>
          <cell r="M199">
            <v>35</v>
          </cell>
          <cell r="N199">
            <v>40</v>
          </cell>
          <cell r="O199">
            <v>5</v>
          </cell>
          <cell r="P199">
            <v>5</v>
          </cell>
          <cell r="Q199">
            <v>5</v>
          </cell>
          <cell r="R199">
            <v>5</v>
          </cell>
        </row>
        <row r="200">
          <cell r="A200" t="str">
            <v>SI1600_20250613</v>
          </cell>
          <cell r="B200" t="str">
            <v>한창구</v>
          </cell>
          <cell r="C200">
            <v>45821</v>
          </cell>
          <cell r="D200" t="str">
            <v>미쟝센 퍼펙트 오일 인퓨전 헤어 마스크150g(25 단캡</v>
          </cell>
          <cell r="F200">
            <v>50</v>
          </cell>
          <cell r="G200">
            <v>50</v>
          </cell>
          <cell r="H200">
            <v>50</v>
          </cell>
          <cell r="I200">
            <v>50</v>
          </cell>
          <cell r="J200">
            <v>5</v>
          </cell>
          <cell r="K200">
            <v>20</v>
          </cell>
          <cell r="L200">
            <v>50</v>
          </cell>
          <cell r="M200">
            <v>65</v>
          </cell>
          <cell r="N200">
            <v>70</v>
          </cell>
        </row>
        <row r="201">
          <cell r="A201" t="str">
            <v>SI1606_20250609</v>
          </cell>
          <cell r="B201" t="str">
            <v>장세래</v>
          </cell>
          <cell r="C201">
            <v>45821</v>
          </cell>
          <cell r="D201" t="str">
            <v>(EUSA)라네즈 실키앤스무스 토너 150mL (26 내캡</v>
          </cell>
          <cell r="F201">
            <v>200</v>
          </cell>
          <cell r="G201">
            <v>200</v>
          </cell>
          <cell r="H201">
            <v>200</v>
          </cell>
          <cell r="I201">
            <v>200</v>
          </cell>
          <cell r="J201">
            <v>5</v>
          </cell>
          <cell r="K201">
            <v>20</v>
          </cell>
          <cell r="L201">
            <v>40</v>
          </cell>
          <cell r="M201">
            <v>115</v>
          </cell>
          <cell r="N201">
            <v>120</v>
          </cell>
          <cell r="O201">
            <v>5</v>
          </cell>
          <cell r="P201">
            <v>5</v>
          </cell>
          <cell r="Q201">
            <v>5</v>
          </cell>
          <cell r="R201">
            <v>5</v>
          </cell>
        </row>
        <row r="202">
          <cell r="A202" t="str">
            <v>김유미</v>
          </cell>
          <cell r="B202" t="str">
            <v/>
          </cell>
          <cell r="C202" t="str">
            <v/>
          </cell>
          <cell r="D202" t="str">
            <v/>
          </cell>
        </row>
        <row r="203">
          <cell r="A203" t="str">
            <v>테스트</v>
          </cell>
          <cell r="B203" t="str">
            <v/>
          </cell>
          <cell r="C203" t="str">
            <v/>
          </cell>
          <cell r="D203" t="str">
            <v/>
          </cell>
        </row>
        <row r="204">
          <cell r="A204" t="str">
            <v>SI1600_20250606</v>
          </cell>
          <cell r="B204" t="str">
            <v>장세래</v>
          </cell>
          <cell r="C204">
            <v>45814</v>
          </cell>
          <cell r="D204" t="str">
            <v>미쟝센 퍼펙트 오일 인퓨전 헤어 마스크150g(25 단캡</v>
          </cell>
          <cell r="F204">
            <v>50</v>
          </cell>
          <cell r="G204">
            <v>50</v>
          </cell>
          <cell r="H204">
            <v>50</v>
          </cell>
          <cell r="I204">
            <v>50</v>
          </cell>
          <cell r="J204">
            <v>5</v>
          </cell>
          <cell r="K204">
            <v>20</v>
          </cell>
          <cell r="L204">
            <v>40</v>
          </cell>
          <cell r="M204">
            <v>65</v>
          </cell>
          <cell r="N204">
            <v>70</v>
          </cell>
          <cell r="O204">
            <v>10</v>
          </cell>
          <cell r="P204">
            <v>10</v>
          </cell>
          <cell r="Q204">
            <v>10</v>
          </cell>
          <cell r="R204">
            <v>10</v>
          </cell>
        </row>
        <row r="205">
          <cell r="A205" t="str">
            <v>SI1605_20250522</v>
          </cell>
          <cell r="B205" t="str">
            <v>장세래</v>
          </cell>
          <cell r="C205">
            <v>45812</v>
          </cell>
          <cell r="D205" t="str">
            <v>(EUSA)라네즈 실키앤스무스 토너 150mL (26 외캡</v>
          </cell>
          <cell r="F205">
            <v>50</v>
          </cell>
          <cell r="G205">
            <v>50</v>
          </cell>
          <cell r="H205">
            <v>50</v>
          </cell>
          <cell r="I205">
            <v>50</v>
          </cell>
          <cell r="J205">
            <v>5</v>
          </cell>
          <cell r="K205">
            <v>40</v>
          </cell>
          <cell r="L205">
            <v>80</v>
          </cell>
          <cell r="M205">
            <v>115</v>
          </cell>
          <cell r="N205">
            <v>120</v>
          </cell>
          <cell r="O205">
            <v>5</v>
          </cell>
          <cell r="P205">
            <v>20</v>
          </cell>
          <cell r="Q205">
            <v>20</v>
          </cell>
          <cell r="R205">
            <v>5</v>
          </cell>
        </row>
        <row r="206">
          <cell r="A206" t="str">
            <v>SI1606_20250522</v>
          </cell>
          <cell r="B206" t="str">
            <v>장세래</v>
          </cell>
          <cell r="C206">
            <v>45806</v>
          </cell>
          <cell r="D206" t="str">
            <v>(EUSA)라네즈 실키앤스무스 토너 150mL (26 내캡</v>
          </cell>
          <cell r="F206">
            <v>50</v>
          </cell>
          <cell r="G206">
            <v>50</v>
          </cell>
          <cell r="H206">
            <v>50</v>
          </cell>
          <cell r="I206">
            <v>50</v>
          </cell>
          <cell r="J206">
            <v>5</v>
          </cell>
          <cell r="K206">
            <v>20</v>
          </cell>
          <cell r="L206">
            <v>30</v>
          </cell>
          <cell r="M206">
            <v>65</v>
          </cell>
          <cell r="N206">
            <v>70</v>
          </cell>
          <cell r="O206">
            <v>5</v>
          </cell>
          <cell r="P206">
            <v>20</v>
          </cell>
          <cell r="Q206">
            <v>20</v>
          </cell>
          <cell r="R206">
            <v>5</v>
          </cell>
        </row>
        <row r="207">
          <cell r="A207" t="str">
            <v>SI1606_20250519</v>
          </cell>
          <cell r="B207" t="str">
            <v>한창구</v>
          </cell>
          <cell r="C207">
            <v>45797</v>
          </cell>
          <cell r="D207" t="str">
            <v>(EUSA)라네즈 실키앤스무스 토너 150mL (26 내캡</v>
          </cell>
          <cell r="F207">
            <v>50</v>
          </cell>
          <cell r="G207">
            <v>50</v>
          </cell>
          <cell r="H207">
            <v>50</v>
          </cell>
          <cell r="I207">
            <v>50</v>
          </cell>
          <cell r="J207">
            <v>10</v>
          </cell>
          <cell r="K207">
            <v>20</v>
          </cell>
          <cell r="L207">
            <v>60</v>
          </cell>
          <cell r="M207">
            <v>90</v>
          </cell>
          <cell r="N207">
            <v>100</v>
          </cell>
          <cell r="O207">
            <v>8</v>
          </cell>
          <cell r="P207">
            <v>8</v>
          </cell>
          <cell r="Q207">
            <v>8</v>
          </cell>
          <cell r="R207">
            <v>5</v>
          </cell>
        </row>
        <row r="208">
          <cell r="A208" t="str">
            <v>SI1605_20250519</v>
          </cell>
          <cell r="B208" t="str">
            <v>유재호</v>
          </cell>
          <cell r="C208">
            <v>45796</v>
          </cell>
          <cell r="D208" t="str">
            <v>(EUSA)라네즈 실키앤스무스 토너 150mL (26 외캡</v>
          </cell>
          <cell r="F208">
            <v>50</v>
          </cell>
          <cell r="G208">
            <v>50</v>
          </cell>
          <cell r="H208">
            <v>50</v>
          </cell>
          <cell r="I208">
            <v>50</v>
          </cell>
          <cell r="J208">
            <v>5</v>
          </cell>
          <cell r="K208">
            <v>20</v>
          </cell>
          <cell r="L208">
            <v>80</v>
          </cell>
          <cell r="M208">
            <v>100</v>
          </cell>
          <cell r="N208">
            <v>120</v>
          </cell>
          <cell r="O208">
            <v>8</v>
          </cell>
          <cell r="P208">
            <v>8</v>
          </cell>
          <cell r="Q208">
            <v>8</v>
          </cell>
          <cell r="R208">
            <v>5</v>
          </cell>
        </row>
        <row r="209">
          <cell r="A209" t="str">
            <v>SI1600_20250421</v>
          </cell>
          <cell r="B209" t="str">
            <v/>
          </cell>
          <cell r="C209" t="str">
            <v/>
          </cell>
          <cell r="D209" t="str">
            <v/>
          </cell>
          <cell r="F209">
            <v>45</v>
          </cell>
          <cell r="G209">
            <v>45</v>
          </cell>
          <cell r="H209">
            <v>45</v>
          </cell>
          <cell r="I209">
            <v>45</v>
          </cell>
          <cell r="J209">
            <v>5</v>
          </cell>
          <cell r="K209">
            <v>30</v>
          </cell>
          <cell r="L209">
            <v>40</v>
          </cell>
          <cell r="M209">
            <v>95</v>
          </cell>
          <cell r="N209">
            <v>100</v>
          </cell>
          <cell r="O209">
            <v>10</v>
          </cell>
          <cell r="P209">
            <v>10</v>
          </cell>
          <cell r="Q209">
            <v>10</v>
          </cell>
          <cell r="R209">
            <v>10</v>
          </cell>
        </row>
        <row r="210">
          <cell r="A210" t="str">
            <v>SI1600_20250416</v>
          </cell>
          <cell r="B210" t="str">
            <v>장세래</v>
          </cell>
          <cell r="C210">
            <v>45768</v>
          </cell>
          <cell r="D210" t="str">
            <v>미쟝센 퍼펙트 오일 인퓨전 헤어 마스크150g(25 단캡</v>
          </cell>
          <cell r="F210">
            <v>30</v>
          </cell>
          <cell r="G210">
            <v>30</v>
          </cell>
          <cell r="H210">
            <v>30</v>
          </cell>
          <cell r="I210">
            <v>30</v>
          </cell>
          <cell r="J210">
            <v>5</v>
          </cell>
          <cell r="K210">
            <v>30</v>
          </cell>
          <cell r="L210">
            <v>40</v>
          </cell>
          <cell r="M210">
            <v>95</v>
          </cell>
          <cell r="N210">
            <v>100</v>
          </cell>
          <cell r="O210">
            <v>10</v>
          </cell>
          <cell r="P210">
            <v>10</v>
          </cell>
          <cell r="Q210">
            <v>10</v>
          </cell>
          <cell r="R210">
            <v>10</v>
          </cell>
        </row>
        <row r="211">
          <cell r="A211" t="str">
            <v>SI1601_20250417</v>
          </cell>
          <cell r="B211" t="str">
            <v>장세래</v>
          </cell>
          <cell r="C211">
            <v>45765</v>
          </cell>
          <cell r="D211" t="str">
            <v>미쟝센 퍼펙트 오일 인퓨전 헤어 마스크150g(25 단용기</v>
          </cell>
          <cell r="F211">
            <v>50</v>
          </cell>
          <cell r="G211">
            <v>50</v>
          </cell>
          <cell r="H211">
            <v>50</v>
          </cell>
          <cell r="I211">
            <v>50</v>
          </cell>
          <cell r="J211">
            <v>5</v>
          </cell>
          <cell r="K211">
            <v>30</v>
          </cell>
          <cell r="L211">
            <v>70</v>
          </cell>
          <cell r="M211">
            <v>155</v>
          </cell>
          <cell r="N211">
            <v>160</v>
          </cell>
          <cell r="O211">
            <v>10</v>
          </cell>
          <cell r="P211">
            <v>10</v>
          </cell>
          <cell r="Q211">
            <v>10</v>
          </cell>
          <cell r="R211">
            <v>10</v>
          </cell>
        </row>
        <row r="212">
          <cell r="A212" t="str">
            <v>SI1598_20250408</v>
          </cell>
          <cell r="B212" t="str">
            <v>유재호</v>
          </cell>
          <cell r="C212">
            <v>45756</v>
          </cell>
          <cell r="D212" t="str">
            <v>라네즈 바운시슬리핑마스크 70ML (20AD 단캡</v>
          </cell>
          <cell r="F212">
            <v>40</v>
          </cell>
          <cell r="G212">
            <v>40</v>
          </cell>
          <cell r="H212">
            <v>40</v>
          </cell>
          <cell r="I212">
            <v>40</v>
          </cell>
          <cell r="J212">
            <v>5</v>
          </cell>
          <cell r="K212">
            <v>10</v>
          </cell>
          <cell r="L212">
            <v>40</v>
          </cell>
          <cell r="M212">
            <v>60</v>
          </cell>
          <cell r="N212">
            <v>80</v>
          </cell>
          <cell r="O212">
            <v>20</v>
          </cell>
          <cell r="P212">
            <v>20</v>
          </cell>
          <cell r="Q212">
            <v>20</v>
          </cell>
          <cell r="R212">
            <v>15</v>
          </cell>
        </row>
        <row r="213">
          <cell r="A213" t="str">
            <v>SI1601_20250402</v>
          </cell>
          <cell r="B213" t="str">
            <v>장세래</v>
          </cell>
          <cell r="C213">
            <v>45751</v>
          </cell>
          <cell r="D213" t="str">
            <v>미쟝센 퍼펙트 오일 인퓨전 헤어 마스크150g(25 단용기</v>
          </cell>
          <cell r="F213">
            <v>50</v>
          </cell>
          <cell r="G213">
            <v>50</v>
          </cell>
          <cell r="H213">
            <v>50</v>
          </cell>
          <cell r="I213">
            <v>50</v>
          </cell>
          <cell r="J213">
            <v>5</v>
          </cell>
          <cell r="K213">
            <v>30</v>
          </cell>
          <cell r="L213">
            <v>70</v>
          </cell>
          <cell r="M213">
            <v>155</v>
          </cell>
          <cell r="N213">
            <v>160</v>
          </cell>
          <cell r="O213">
            <v>10</v>
          </cell>
          <cell r="P213">
            <v>10</v>
          </cell>
          <cell r="Q213">
            <v>10</v>
          </cell>
          <cell r="R213">
            <v>10</v>
          </cell>
        </row>
        <row r="214">
          <cell r="A214" t="str">
            <v>SI1600_20250402</v>
          </cell>
          <cell r="B214" t="str">
            <v>장세래</v>
          </cell>
          <cell r="C214">
            <v>45751</v>
          </cell>
          <cell r="D214" t="str">
            <v>미쟝센 퍼펙트 오일 인퓨전 헤어 마스크150g(25 단캡</v>
          </cell>
          <cell r="F214">
            <v>30</v>
          </cell>
          <cell r="G214">
            <v>30</v>
          </cell>
          <cell r="H214">
            <v>30</v>
          </cell>
          <cell r="I214">
            <v>30</v>
          </cell>
          <cell r="J214">
            <v>5</v>
          </cell>
          <cell r="K214">
            <v>30</v>
          </cell>
          <cell r="L214">
            <v>40</v>
          </cell>
          <cell r="M214">
            <v>95</v>
          </cell>
          <cell r="N214">
            <v>100</v>
          </cell>
        </row>
        <row r="215">
          <cell r="A215" t="str">
            <v>SI1558_20250321</v>
          </cell>
          <cell r="B215" t="str">
            <v>유재호</v>
          </cell>
          <cell r="C215">
            <v>45737</v>
          </cell>
          <cell r="D215" t="str">
            <v>라보에이치 모발강화 트리트먼트 200ml 50파이 장식</v>
          </cell>
          <cell r="F215">
            <v>30</v>
          </cell>
          <cell r="G215">
            <v>30</v>
          </cell>
          <cell r="H215">
            <v>30</v>
          </cell>
          <cell r="I215">
            <v>30</v>
          </cell>
          <cell r="J215">
            <v>6</v>
          </cell>
          <cell r="K215">
            <v>26</v>
          </cell>
          <cell r="L215">
            <v>35</v>
          </cell>
          <cell r="M215">
            <v>40</v>
          </cell>
          <cell r="N215">
            <v>45</v>
          </cell>
          <cell r="O215">
            <v>8</v>
          </cell>
          <cell r="P215">
            <v>8</v>
          </cell>
          <cell r="Q215">
            <v>8</v>
          </cell>
          <cell r="R215">
            <v>3</v>
          </cell>
        </row>
        <row r="216">
          <cell r="A216" t="str">
            <v>SI1560_20250321</v>
          </cell>
          <cell r="B216" t="str">
            <v>유재호</v>
          </cell>
          <cell r="C216">
            <v>45737</v>
          </cell>
          <cell r="D216" t="str">
            <v>라보에이치 모발강화 트리트먼트 300ml 60파이 장식</v>
          </cell>
          <cell r="F216">
            <v>30</v>
          </cell>
          <cell r="G216">
            <v>30</v>
          </cell>
          <cell r="H216">
            <v>30</v>
          </cell>
          <cell r="I216">
            <v>30</v>
          </cell>
          <cell r="J216">
            <v>6</v>
          </cell>
          <cell r="K216">
            <v>20</v>
          </cell>
          <cell r="L216">
            <v>40</v>
          </cell>
          <cell r="M216">
            <v>50</v>
          </cell>
          <cell r="N216">
            <v>55</v>
          </cell>
          <cell r="O216">
            <v>5</v>
          </cell>
          <cell r="P216">
            <v>8</v>
          </cell>
          <cell r="Q216">
            <v>8</v>
          </cell>
          <cell r="R216">
            <v>3</v>
          </cell>
        </row>
        <row r="217">
          <cell r="A217" t="str">
            <v>SI1596_20250318</v>
          </cell>
          <cell r="B217" t="str">
            <v>한창구</v>
          </cell>
          <cell r="C217">
            <v>45735</v>
          </cell>
          <cell r="D217" t="str">
            <v>라네즈 워터슬리핑마스크 70ML (20AD 외용기</v>
          </cell>
          <cell r="F217">
            <v>20</v>
          </cell>
          <cell r="G217">
            <v>25</v>
          </cell>
          <cell r="H217">
            <v>25</v>
          </cell>
          <cell r="I217">
            <v>20</v>
          </cell>
          <cell r="K217">
            <v>20</v>
          </cell>
          <cell r="L217">
            <v>40</v>
          </cell>
          <cell r="M217">
            <v>145</v>
          </cell>
          <cell r="N217">
            <v>150</v>
          </cell>
          <cell r="O217">
            <v>5</v>
          </cell>
          <cell r="P217">
            <v>10</v>
          </cell>
          <cell r="Q217">
            <v>10</v>
          </cell>
          <cell r="R217">
            <v>5</v>
          </cell>
        </row>
        <row r="218">
          <cell r="A218" t="str">
            <v>SI1597_20250307</v>
          </cell>
          <cell r="B218" t="str">
            <v>유재호</v>
          </cell>
          <cell r="C218">
            <v>45723</v>
          </cell>
          <cell r="D218" t="str">
            <v>아모레 원터치캡 45파이</v>
          </cell>
          <cell r="F218">
            <v>50</v>
          </cell>
          <cell r="G218">
            <v>50</v>
          </cell>
          <cell r="H218">
            <v>50</v>
          </cell>
          <cell r="I218">
            <v>50</v>
          </cell>
          <cell r="K218">
            <v>25</v>
          </cell>
          <cell r="L218">
            <v>45</v>
          </cell>
          <cell r="M218">
            <v>80</v>
          </cell>
          <cell r="N218">
            <v>100</v>
          </cell>
          <cell r="O218">
            <v>5</v>
          </cell>
          <cell r="P218">
            <v>10</v>
          </cell>
          <cell r="Q218">
            <v>10</v>
          </cell>
          <cell r="R218">
            <v>10</v>
          </cell>
        </row>
        <row r="219">
          <cell r="A219" t="str">
            <v>SI1592_20250204</v>
          </cell>
          <cell r="B219" t="str">
            <v>유재호</v>
          </cell>
          <cell r="C219">
            <v>45716</v>
          </cell>
          <cell r="D219" t="str">
            <v>라네즈 워터슬리핑마스크 70ML (20AD 내용기</v>
          </cell>
          <cell r="F219">
            <v>80</v>
          </cell>
          <cell r="G219">
            <v>80</v>
          </cell>
          <cell r="H219">
            <v>80</v>
          </cell>
          <cell r="I219">
            <v>80</v>
          </cell>
          <cell r="K219">
            <v>20</v>
          </cell>
          <cell r="L219">
            <v>60</v>
          </cell>
          <cell r="M219">
            <v>80</v>
          </cell>
          <cell r="N219">
            <v>120</v>
          </cell>
          <cell r="P219">
            <v>5</v>
          </cell>
          <cell r="Q219">
            <v>10</v>
          </cell>
          <cell r="R219">
            <v>10</v>
          </cell>
        </row>
        <row r="220">
          <cell r="A220" t="str">
            <v>SI1590_20250204</v>
          </cell>
          <cell r="B220" t="str">
            <v>유재호</v>
          </cell>
          <cell r="C220">
            <v>45716</v>
          </cell>
          <cell r="D220" t="str">
            <v/>
          </cell>
          <cell r="F220">
            <v>80</v>
          </cell>
          <cell r="G220">
            <v>80</v>
          </cell>
          <cell r="H220">
            <v>80</v>
          </cell>
          <cell r="I220">
            <v>80</v>
          </cell>
          <cell r="J220">
            <v>5</v>
          </cell>
          <cell r="K220">
            <v>20</v>
          </cell>
          <cell r="L220">
            <v>60</v>
          </cell>
          <cell r="M220">
            <v>80</v>
          </cell>
          <cell r="N220">
            <v>110</v>
          </cell>
          <cell r="P220">
            <v>5</v>
          </cell>
          <cell r="Q220">
            <v>10</v>
          </cell>
          <cell r="R220">
            <v>10</v>
          </cell>
        </row>
        <row r="221">
          <cell r="A221" t="str">
            <v>SI1543_20250227</v>
          </cell>
          <cell r="B221" t="str">
            <v>유재호</v>
          </cell>
          <cell r="C221">
            <v>45715</v>
          </cell>
          <cell r="D221" t="str">
            <v>아이오페 스템Ⅲ 클리니컬 리커버리 크림 50ML(25) 내용기</v>
          </cell>
          <cell r="F221">
            <v>35</v>
          </cell>
          <cell r="G221">
            <v>35</v>
          </cell>
          <cell r="H221">
            <v>35</v>
          </cell>
          <cell r="I221">
            <v>35</v>
          </cell>
          <cell r="J221">
            <v>5</v>
          </cell>
          <cell r="K221">
            <v>20</v>
          </cell>
          <cell r="L221">
            <v>40</v>
          </cell>
          <cell r="M221">
            <v>60</v>
          </cell>
          <cell r="N221">
            <v>100</v>
          </cell>
          <cell r="P221">
            <v>5</v>
          </cell>
          <cell r="Q221">
            <v>10</v>
          </cell>
          <cell r="R221">
            <v>10</v>
          </cell>
        </row>
        <row r="222">
          <cell r="A222" t="str">
            <v>SI1591_20250224</v>
          </cell>
          <cell r="B222" t="str">
            <v>유재호</v>
          </cell>
          <cell r="C222">
            <v>45712</v>
          </cell>
          <cell r="D222" t="str">
            <v>라네즈 워터슬리핑마스크 70ML (20AD 단캡</v>
          </cell>
          <cell r="F222">
            <v>30</v>
          </cell>
          <cell r="G222">
            <v>30</v>
          </cell>
          <cell r="H222">
            <v>30</v>
          </cell>
          <cell r="I222">
            <v>30</v>
          </cell>
          <cell r="J222">
            <v>5</v>
          </cell>
          <cell r="K222">
            <v>25</v>
          </cell>
          <cell r="L222">
            <v>45</v>
          </cell>
          <cell r="M222">
            <v>70</v>
          </cell>
          <cell r="N222">
            <v>80</v>
          </cell>
          <cell r="O222">
            <v>5</v>
          </cell>
          <cell r="P222">
            <v>5</v>
          </cell>
          <cell r="Q222">
            <v>5</v>
          </cell>
          <cell r="R222">
            <v>5</v>
          </cell>
        </row>
        <row r="223">
          <cell r="A223" t="str">
            <v>SI1591_20250204</v>
          </cell>
          <cell r="B223" t="str">
            <v>장세래</v>
          </cell>
          <cell r="C223">
            <v>45708</v>
          </cell>
          <cell r="D223" t="str">
            <v>라네즈 워터슬리핑마스크 70ML (20AD 단캡</v>
          </cell>
          <cell r="F223">
            <v>30</v>
          </cell>
          <cell r="G223">
            <v>30</v>
          </cell>
          <cell r="H223">
            <v>30</v>
          </cell>
          <cell r="I223">
            <v>30</v>
          </cell>
          <cell r="K223">
            <v>35</v>
          </cell>
          <cell r="L223">
            <v>45</v>
          </cell>
          <cell r="M223">
            <v>70</v>
          </cell>
          <cell r="N223">
            <v>80</v>
          </cell>
          <cell r="O223">
            <v>5</v>
          </cell>
          <cell r="P223">
            <v>5</v>
          </cell>
          <cell r="Q223">
            <v>5</v>
          </cell>
          <cell r="R223">
            <v>5</v>
          </cell>
        </row>
        <row r="224">
          <cell r="A224" t="str">
            <v>SI1596_20250219</v>
          </cell>
          <cell r="B224" t="str">
            <v>장세래</v>
          </cell>
          <cell r="C224">
            <v>45707</v>
          </cell>
          <cell r="D224" t="str">
            <v>라네즈 워터슬리핑마스크 70ML (20AD 외용기</v>
          </cell>
          <cell r="F224">
            <v>20</v>
          </cell>
          <cell r="G224">
            <v>20</v>
          </cell>
          <cell r="H224">
            <v>20</v>
          </cell>
          <cell r="I224">
            <v>20</v>
          </cell>
          <cell r="K224">
            <v>30</v>
          </cell>
          <cell r="L224">
            <v>40</v>
          </cell>
          <cell r="M224">
            <v>145</v>
          </cell>
          <cell r="N224">
            <v>150</v>
          </cell>
          <cell r="O224">
            <v>5</v>
          </cell>
          <cell r="P224">
            <v>5</v>
          </cell>
          <cell r="Q224">
            <v>5</v>
          </cell>
          <cell r="R224">
            <v>5</v>
          </cell>
        </row>
        <row r="225">
          <cell r="A225" t="str">
            <v>SI1541_20250204</v>
          </cell>
          <cell r="B225" t="str">
            <v>장세래</v>
          </cell>
          <cell r="C225">
            <v>45701</v>
          </cell>
          <cell r="D225" t="str">
            <v>아이오페 스템Ⅲ 클리니컬 리커버리 크림 50ML(25) 외캡 사출</v>
          </cell>
          <cell r="F225">
            <v>60</v>
          </cell>
          <cell r="G225">
            <v>60</v>
          </cell>
          <cell r="H225">
            <v>60</v>
          </cell>
          <cell r="I225">
            <v>60</v>
          </cell>
          <cell r="J225">
            <v>5</v>
          </cell>
          <cell r="K225">
            <v>30</v>
          </cell>
          <cell r="L225">
            <v>40</v>
          </cell>
          <cell r="M225">
            <v>75</v>
          </cell>
          <cell r="N225">
            <v>80</v>
          </cell>
          <cell r="O225">
            <v>5</v>
          </cell>
          <cell r="P225">
            <v>5</v>
          </cell>
          <cell r="Q225">
            <v>5</v>
          </cell>
          <cell r="R225">
            <v>5</v>
          </cell>
        </row>
        <row r="226">
          <cell r="A226" t="str">
            <v>SI1540_20250204</v>
          </cell>
          <cell r="B226" t="str">
            <v>장세래</v>
          </cell>
          <cell r="C226">
            <v>45700</v>
          </cell>
          <cell r="D226" t="str">
            <v>아이오페 스템Ⅲ 클리니컬 리커버리 크림 50ML(25) 캡장식 사출</v>
          </cell>
          <cell r="F226">
            <v>100</v>
          </cell>
          <cell r="G226">
            <v>100</v>
          </cell>
          <cell r="H226">
            <v>100</v>
          </cell>
          <cell r="I226">
            <v>100</v>
          </cell>
          <cell r="J226">
            <v>5</v>
          </cell>
          <cell r="K226">
            <v>20</v>
          </cell>
          <cell r="L226">
            <v>40</v>
          </cell>
          <cell r="M226">
            <v>55</v>
          </cell>
          <cell r="N226">
            <v>60</v>
          </cell>
          <cell r="O226">
            <v>5</v>
          </cell>
          <cell r="P226">
            <v>5</v>
          </cell>
          <cell r="Q226">
            <v>5</v>
          </cell>
          <cell r="R226">
            <v>5</v>
          </cell>
        </row>
        <row r="227">
          <cell r="A227" t="str">
            <v>SI1542_20250204</v>
          </cell>
          <cell r="B227" t="str">
            <v>유재호</v>
          </cell>
          <cell r="C227">
            <v>45699</v>
          </cell>
          <cell r="D227" t="str">
            <v>아이오페 스템Ⅲ 클리니컬 리커버리 크림 50ML(25) 내캡 사출</v>
          </cell>
          <cell r="F227">
            <v>25</v>
          </cell>
          <cell r="G227">
            <v>25</v>
          </cell>
          <cell r="H227">
            <v>25</v>
          </cell>
          <cell r="I227">
            <v>25</v>
          </cell>
          <cell r="J227">
            <v>4</v>
          </cell>
          <cell r="K227">
            <v>10</v>
          </cell>
          <cell r="L227">
            <v>20</v>
          </cell>
          <cell r="M227">
            <v>60</v>
          </cell>
          <cell r="N227">
            <v>100</v>
          </cell>
          <cell r="O227">
            <v>10</v>
          </cell>
          <cell r="P227">
            <v>10</v>
          </cell>
          <cell r="Q227">
            <v>10</v>
          </cell>
          <cell r="R227">
            <v>5</v>
          </cell>
        </row>
        <row r="228">
          <cell r="A228" t="str">
            <v>SI1543_20250204</v>
          </cell>
          <cell r="B228" t="str">
            <v>유재호</v>
          </cell>
          <cell r="C228">
            <v>45699</v>
          </cell>
          <cell r="D228" t="str">
            <v>아이오페 스템Ⅲ 클리니컬 리커버리 크림 50ML(25) 내용기</v>
          </cell>
          <cell r="F228">
            <v>25</v>
          </cell>
          <cell r="G228">
            <v>25</v>
          </cell>
          <cell r="H228">
            <v>25</v>
          </cell>
          <cell r="I228">
            <v>25</v>
          </cell>
          <cell r="K228">
            <v>10</v>
          </cell>
          <cell r="L228">
            <v>30</v>
          </cell>
          <cell r="M228">
            <v>60</v>
          </cell>
          <cell r="N228">
            <v>100</v>
          </cell>
          <cell r="O228">
            <v>5</v>
          </cell>
          <cell r="P228">
            <v>5</v>
          </cell>
          <cell r="Q228">
            <v>5</v>
          </cell>
          <cell r="R228">
            <v>5</v>
          </cell>
        </row>
        <row r="229">
          <cell r="A229" t="str">
            <v>SI1569_20250114</v>
          </cell>
          <cell r="B229" t="str">
            <v>장세래</v>
          </cell>
          <cell r="C229">
            <v>45681</v>
          </cell>
          <cell r="D229" t="str">
            <v>(수출)라네즈 유스콜라겐드링크 25ml*30EA 패키지변경 25AD 캡</v>
          </cell>
          <cell r="F229">
            <v>80</v>
          </cell>
          <cell r="G229">
            <v>80</v>
          </cell>
          <cell r="H229">
            <v>80</v>
          </cell>
          <cell r="I229">
            <v>80</v>
          </cell>
          <cell r="K229">
            <v>30</v>
          </cell>
          <cell r="L229">
            <v>50</v>
          </cell>
          <cell r="M229">
            <v>95</v>
          </cell>
          <cell r="N229">
            <v>100</v>
          </cell>
          <cell r="O229">
            <v>5</v>
          </cell>
          <cell r="P229">
            <v>5</v>
          </cell>
          <cell r="Q229">
            <v>5</v>
          </cell>
          <cell r="R229">
            <v>5</v>
          </cell>
        </row>
        <row r="230">
          <cell r="A230" t="str">
            <v>SI1591_20250116</v>
          </cell>
          <cell r="B230" t="str">
            <v>유재호</v>
          </cell>
          <cell r="C230">
            <v>45681</v>
          </cell>
          <cell r="D230" t="str">
            <v>라네즈 워터슬리핑마스크 70ML (20AD 단캡</v>
          </cell>
          <cell r="F230">
            <v>35</v>
          </cell>
          <cell r="G230">
            <v>35</v>
          </cell>
          <cell r="H230">
            <v>35</v>
          </cell>
          <cell r="I230">
            <v>35</v>
          </cell>
          <cell r="J230">
            <v>5</v>
          </cell>
          <cell r="K230">
            <v>40</v>
          </cell>
          <cell r="L230">
            <v>65</v>
          </cell>
          <cell r="M230">
            <v>70</v>
          </cell>
          <cell r="N230">
            <v>80</v>
          </cell>
          <cell r="O230">
            <v>15</v>
          </cell>
          <cell r="P230">
            <v>20</v>
          </cell>
          <cell r="Q230">
            <v>20</v>
          </cell>
          <cell r="R230">
            <v>10</v>
          </cell>
        </row>
        <row r="231">
          <cell r="A231" t="str">
            <v>SI1592_20250116</v>
          </cell>
          <cell r="B231" t="str">
            <v>유재호</v>
          </cell>
          <cell r="C231">
            <v>45679</v>
          </cell>
          <cell r="D231" t="str">
            <v>라네즈 워터슬리핑마스크 70ML (20AD 내용기</v>
          </cell>
          <cell r="F231">
            <v>80</v>
          </cell>
          <cell r="G231">
            <v>80</v>
          </cell>
          <cell r="H231">
            <v>80</v>
          </cell>
          <cell r="I231">
            <v>80</v>
          </cell>
          <cell r="J231">
            <v>5</v>
          </cell>
          <cell r="K231">
            <v>25</v>
          </cell>
          <cell r="L231">
            <v>90</v>
          </cell>
          <cell r="M231">
            <v>120</v>
          </cell>
          <cell r="O231">
            <v>10</v>
          </cell>
          <cell r="P231">
            <v>10</v>
          </cell>
          <cell r="Q231">
            <v>5</v>
          </cell>
        </row>
        <row r="232">
          <cell r="A232" t="str">
            <v>SI1590_20250116</v>
          </cell>
          <cell r="B232" t="str">
            <v>유재호</v>
          </cell>
          <cell r="C232">
            <v>45679</v>
          </cell>
          <cell r="D232" t="str">
            <v>라네즈 시카슬리핑마스크 60ML (21AD 내용기</v>
          </cell>
          <cell r="F232">
            <v>80</v>
          </cell>
          <cell r="G232">
            <v>80</v>
          </cell>
          <cell r="H232">
            <v>80</v>
          </cell>
          <cell r="J232">
            <v>5</v>
          </cell>
          <cell r="K232">
            <v>25</v>
          </cell>
          <cell r="L232">
            <v>95</v>
          </cell>
          <cell r="M232">
            <v>110</v>
          </cell>
          <cell r="O232">
            <v>10</v>
          </cell>
          <cell r="P232">
            <v>10</v>
          </cell>
          <cell r="Q232">
            <v>5</v>
          </cell>
        </row>
        <row r="233">
          <cell r="A233" t="str">
            <v>SI1558_20250120</v>
          </cell>
          <cell r="B233" t="str">
            <v>유재호</v>
          </cell>
          <cell r="C233">
            <v>45677</v>
          </cell>
          <cell r="D233" t="str">
            <v>라보에이치 모발강화 트리트먼트 200ml 50파이 장식</v>
          </cell>
          <cell r="F233">
            <v>150</v>
          </cell>
          <cell r="G233">
            <v>150</v>
          </cell>
          <cell r="H233">
            <v>150</v>
          </cell>
          <cell r="I233">
            <v>150</v>
          </cell>
          <cell r="K233">
            <v>20</v>
          </cell>
          <cell r="L233">
            <v>25</v>
          </cell>
          <cell r="M233">
            <v>60</v>
          </cell>
          <cell r="O233">
            <v>10</v>
          </cell>
          <cell r="P233">
            <v>10</v>
          </cell>
          <cell r="Q233">
            <v>5</v>
          </cell>
        </row>
        <row r="234">
          <cell r="A234" t="str">
            <v>SI1560_20250120</v>
          </cell>
          <cell r="B234" t="str">
            <v>유재호</v>
          </cell>
          <cell r="C234">
            <v>45677</v>
          </cell>
          <cell r="D234" t="str">
            <v>라보에이치 모발강화 트리트먼트 300ml 60파이 장식</v>
          </cell>
          <cell r="F234">
            <v>150</v>
          </cell>
          <cell r="G234">
            <v>150</v>
          </cell>
          <cell r="H234">
            <v>150</v>
          </cell>
          <cell r="I234">
            <v>150</v>
          </cell>
          <cell r="L234">
            <v>20</v>
          </cell>
          <cell r="M234">
            <v>55</v>
          </cell>
          <cell r="N234">
            <v>60</v>
          </cell>
          <cell r="P234">
            <v>10</v>
          </cell>
          <cell r="Q234">
            <v>10</v>
          </cell>
          <cell r="R234">
            <v>5</v>
          </cell>
        </row>
        <row r="235">
          <cell r="A235" t="str">
            <v>SI1557_20250116</v>
          </cell>
          <cell r="B235" t="str">
            <v>유재호</v>
          </cell>
          <cell r="C235">
            <v>45677</v>
          </cell>
          <cell r="D235" t="str">
            <v>라보에이치 모발강화 트리트먼트 200ml 50파이 원터치캡</v>
          </cell>
          <cell r="F235">
            <v>50</v>
          </cell>
          <cell r="G235">
            <v>50</v>
          </cell>
          <cell r="H235">
            <v>50</v>
          </cell>
          <cell r="I235">
            <v>50</v>
          </cell>
          <cell r="J235">
            <v>5</v>
          </cell>
          <cell r="K235">
            <v>35</v>
          </cell>
          <cell r="L235">
            <v>45</v>
          </cell>
          <cell r="M235">
            <v>80</v>
          </cell>
          <cell r="N235">
            <v>100</v>
          </cell>
          <cell r="O235">
            <v>10</v>
          </cell>
          <cell r="P235">
            <v>10</v>
          </cell>
          <cell r="Q235">
            <v>10</v>
          </cell>
          <cell r="R235">
            <v>5</v>
          </cell>
        </row>
        <row r="236">
          <cell r="A236" t="str">
            <v>SI1538_20241008</v>
          </cell>
          <cell r="B236" t="str">
            <v>장세래</v>
          </cell>
          <cell r="C236">
            <v>45579</v>
          </cell>
          <cell r="D236" t="str">
            <v>설화수 진설클렌징폼 150ml (25AD 외캡</v>
          </cell>
          <cell r="F236">
            <v>20</v>
          </cell>
          <cell r="G236">
            <v>20</v>
          </cell>
          <cell r="H236">
            <v>20</v>
          </cell>
          <cell r="I236">
            <v>20</v>
          </cell>
          <cell r="K236">
            <v>30</v>
          </cell>
          <cell r="L236">
            <v>40</v>
          </cell>
          <cell r="M236">
            <v>55</v>
          </cell>
          <cell r="N236">
            <v>60</v>
          </cell>
          <cell r="O236">
            <v>5</v>
          </cell>
          <cell r="P236">
            <v>20</v>
          </cell>
          <cell r="Q236">
            <v>20</v>
          </cell>
          <cell r="R236">
            <v>5</v>
          </cell>
        </row>
        <row r="237">
          <cell r="A237" t="str">
            <v>SI1543_20241014</v>
          </cell>
          <cell r="B237" t="str">
            <v>한창구</v>
          </cell>
          <cell r="C237">
            <v>45581</v>
          </cell>
          <cell r="D237" t="str">
            <v>아이오페 스템Ⅲ 클리니컬 리커버리 크림 50ML(25) 내용기</v>
          </cell>
          <cell r="F237">
            <v>250</v>
          </cell>
          <cell r="G237">
            <v>250</v>
          </cell>
          <cell r="H237">
            <v>250</v>
          </cell>
          <cell r="J237">
            <v>5</v>
          </cell>
          <cell r="K237">
            <v>20</v>
          </cell>
          <cell r="L237">
            <v>135</v>
          </cell>
          <cell r="M237">
            <v>140</v>
          </cell>
          <cell r="O237">
            <v>10</v>
          </cell>
          <cell r="P237">
            <v>15</v>
          </cell>
          <cell r="Q237">
            <v>10</v>
          </cell>
        </row>
        <row r="238">
          <cell r="A238" t="str">
            <v>SI1541_20241014</v>
          </cell>
          <cell r="B238" t="str">
            <v>한창구</v>
          </cell>
          <cell r="C238">
            <v>45581</v>
          </cell>
          <cell r="D238" t="str">
            <v>아이오페 스템Ⅲ 클리니컬 리커버리 크림 50ML(25) 외캡 사출</v>
          </cell>
          <cell r="F238">
            <v>70</v>
          </cell>
          <cell r="G238">
            <v>70</v>
          </cell>
          <cell r="H238">
            <v>70</v>
          </cell>
          <cell r="K238">
            <v>20</v>
          </cell>
          <cell r="L238">
            <v>95</v>
          </cell>
          <cell r="M238">
            <v>100</v>
          </cell>
          <cell r="O238">
            <v>10</v>
          </cell>
          <cell r="P238">
            <v>10</v>
          </cell>
          <cell r="Q238">
            <v>10</v>
          </cell>
        </row>
        <row r="239">
          <cell r="A239" t="str">
            <v>SI0992_20241014</v>
          </cell>
          <cell r="B239" t="str">
            <v>장세래</v>
          </cell>
          <cell r="C239">
            <v>45583</v>
          </cell>
          <cell r="D239" t="str">
            <v>일리윤 히알루론모이스춰수분크림 100ML (24 외용기 사출</v>
          </cell>
          <cell r="F239">
            <v>100</v>
          </cell>
          <cell r="G239">
            <v>150</v>
          </cell>
          <cell r="H239">
            <v>100</v>
          </cell>
          <cell r="J239">
            <v>9</v>
          </cell>
          <cell r="K239">
            <v>30</v>
          </cell>
          <cell r="L239">
            <v>85</v>
          </cell>
          <cell r="M239">
            <v>90</v>
          </cell>
          <cell r="O239">
            <v>30</v>
          </cell>
          <cell r="P239">
            <v>30</v>
          </cell>
          <cell r="Q239">
            <v>30</v>
          </cell>
        </row>
        <row r="240">
          <cell r="A240" t="str">
            <v>SI0993_20241014</v>
          </cell>
          <cell r="B240" t="str">
            <v>장세래</v>
          </cell>
          <cell r="C240">
            <v>45583</v>
          </cell>
          <cell r="D240" t="str">
            <v>일리윤 프로바이오틱스 스킨 배리어 크림 100ML 캡 사출</v>
          </cell>
          <cell r="F240">
            <v>100</v>
          </cell>
          <cell r="G240">
            <v>150</v>
          </cell>
          <cell r="H240">
            <v>100</v>
          </cell>
          <cell r="J240">
            <v>30</v>
          </cell>
          <cell r="K240">
            <v>40</v>
          </cell>
          <cell r="L240">
            <v>95</v>
          </cell>
          <cell r="M240">
            <v>100</v>
          </cell>
          <cell r="O240">
            <v>10</v>
          </cell>
          <cell r="P240">
            <v>20</v>
          </cell>
          <cell r="Q240">
            <v>10</v>
          </cell>
        </row>
        <row r="241">
          <cell r="A241" t="str">
            <v>SI0994_20241014</v>
          </cell>
          <cell r="B241" t="str">
            <v>장세래</v>
          </cell>
          <cell r="C241">
            <v>45584</v>
          </cell>
          <cell r="D241" t="str">
            <v>일리윤 히알루론모이스춰수분크림 100ML (21 내용기 사출</v>
          </cell>
          <cell r="F241">
            <v>120</v>
          </cell>
          <cell r="G241">
            <v>120</v>
          </cell>
          <cell r="H241">
            <v>120</v>
          </cell>
          <cell r="I241">
            <v>120</v>
          </cell>
          <cell r="J241">
            <v>9</v>
          </cell>
          <cell r="K241">
            <v>10</v>
          </cell>
          <cell r="L241">
            <v>40</v>
          </cell>
          <cell r="M241">
            <v>105</v>
          </cell>
          <cell r="N241">
            <v>110</v>
          </cell>
          <cell r="O241">
            <v>20</v>
          </cell>
          <cell r="P241">
            <v>25</v>
          </cell>
          <cell r="Q241">
            <v>25</v>
          </cell>
          <cell r="R241">
            <v>20</v>
          </cell>
        </row>
        <row r="242">
          <cell r="A242" t="str">
            <v>SI1539_20241017</v>
          </cell>
          <cell r="B242" t="str">
            <v>유재호</v>
          </cell>
          <cell r="C242">
            <v>45587</v>
          </cell>
          <cell r="D242" t="str">
            <v>설화수 진설클렌징폼 150ml (25AD 내캡</v>
          </cell>
          <cell r="F242">
            <v>45</v>
          </cell>
          <cell r="G242">
            <v>45</v>
          </cell>
          <cell r="J242">
            <v>3</v>
          </cell>
          <cell r="K242">
            <v>70</v>
          </cell>
          <cell r="L242">
            <v>73</v>
          </cell>
        </row>
        <row r="243">
          <cell r="A243" t="str">
            <v>SI1553_20241017</v>
          </cell>
          <cell r="B243" t="str">
            <v>유재호</v>
          </cell>
          <cell r="C243">
            <v>45587</v>
          </cell>
          <cell r="D243" t="str">
            <v>설화수 진설클렌징폼 견본 40ml (25AD 내캡</v>
          </cell>
          <cell r="F243">
            <v>45</v>
          </cell>
          <cell r="G243">
            <v>45</v>
          </cell>
          <cell r="J243">
            <v>3</v>
          </cell>
          <cell r="K243">
            <v>60</v>
          </cell>
          <cell r="L243">
            <v>70</v>
          </cell>
        </row>
        <row r="244">
          <cell r="A244" t="str">
            <v>SI1538_20241017</v>
          </cell>
          <cell r="B244" t="str">
            <v>유재호</v>
          </cell>
          <cell r="C244">
            <v>45588</v>
          </cell>
          <cell r="D244" t="str">
            <v>설화수 진설클렌징폼 150ml (25AD 외캡</v>
          </cell>
          <cell r="F244">
            <v>160</v>
          </cell>
          <cell r="G244">
            <v>160</v>
          </cell>
          <cell r="H244">
            <v>160</v>
          </cell>
          <cell r="J244">
            <v>5</v>
          </cell>
          <cell r="K244">
            <v>20</v>
          </cell>
          <cell r="L244">
            <v>85</v>
          </cell>
          <cell r="M244">
            <v>90</v>
          </cell>
          <cell r="O244">
            <v>10</v>
          </cell>
          <cell r="P244">
            <v>10</v>
          </cell>
          <cell r="Q244">
            <v>8</v>
          </cell>
        </row>
        <row r="245">
          <cell r="A245" t="str">
            <v>SI1554_20241017-1</v>
          </cell>
          <cell r="B245" t="str">
            <v>유재호</v>
          </cell>
          <cell r="C245">
            <v>45588</v>
          </cell>
          <cell r="D245" t="str">
            <v>설화수 진설클렌징폼 견본 40ml (25AD 외캡</v>
          </cell>
          <cell r="F245">
            <v>120</v>
          </cell>
          <cell r="G245">
            <v>120</v>
          </cell>
          <cell r="H245">
            <v>120</v>
          </cell>
          <cell r="J245">
            <v>5</v>
          </cell>
          <cell r="K245">
            <v>60</v>
          </cell>
          <cell r="L245">
            <v>30</v>
          </cell>
          <cell r="M245">
            <v>20</v>
          </cell>
          <cell r="O245">
            <v>10</v>
          </cell>
          <cell r="P245">
            <v>10</v>
          </cell>
          <cell r="Q245">
            <v>8</v>
          </cell>
        </row>
        <row r="246">
          <cell r="A246" t="str">
            <v>SI1554_20241017-2</v>
          </cell>
          <cell r="B246" t="str">
            <v>유재호</v>
          </cell>
          <cell r="C246">
            <v>45588</v>
          </cell>
          <cell r="D246" t="str">
            <v>설화수 진설클렌징폼 견본 40ml (25AD 외캡</v>
          </cell>
          <cell r="F246">
            <v>120</v>
          </cell>
          <cell r="G246">
            <v>120</v>
          </cell>
          <cell r="H246">
            <v>120</v>
          </cell>
          <cell r="J246">
            <v>5</v>
          </cell>
          <cell r="K246">
            <v>60</v>
          </cell>
          <cell r="L246">
            <v>30</v>
          </cell>
          <cell r="M246">
            <v>20</v>
          </cell>
          <cell r="O246">
            <v>10</v>
          </cell>
          <cell r="P246">
            <v>10</v>
          </cell>
          <cell r="Q246">
            <v>8</v>
          </cell>
        </row>
        <row r="247">
          <cell r="A247" t="str">
            <v>SI1554_20241017</v>
          </cell>
          <cell r="B247" t="str">
            <v>유재호</v>
          </cell>
          <cell r="C247">
            <v>45588</v>
          </cell>
          <cell r="D247" t="str">
            <v>설화수 진설클렌징폼 견본 40ml (25AD 외캡</v>
          </cell>
          <cell r="F247">
            <v>120</v>
          </cell>
          <cell r="G247">
            <v>120</v>
          </cell>
          <cell r="H247">
            <v>120</v>
          </cell>
          <cell r="J247">
            <v>5</v>
          </cell>
          <cell r="K247">
            <v>60</v>
          </cell>
          <cell r="L247">
            <v>30</v>
          </cell>
          <cell r="M247">
            <v>20</v>
          </cell>
          <cell r="O247">
            <v>10</v>
          </cell>
          <cell r="P247">
            <v>10</v>
          </cell>
          <cell r="Q247">
            <v>8</v>
          </cell>
        </row>
        <row r="248">
          <cell r="A248" t="str">
            <v>SI1537_20241017</v>
          </cell>
          <cell r="B248" t="str">
            <v>유재호</v>
          </cell>
          <cell r="C248">
            <v>45588</v>
          </cell>
          <cell r="D248" t="str">
            <v>설화수 진설클렌징폼 150ml (25AD 캡장식</v>
          </cell>
          <cell r="F248">
            <v>120</v>
          </cell>
          <cell r="G248">
            <v>120</v>
          </cell>
          <cell r="H248">
            <v>120</v>
          </cell>
          <cell r="J248">
            <v>3</v>
          </cell>
          <cell r="K248">
            <v>20</v>
          </cell>
          <cell r="L248">
            <v>30</v>
          </cell>
          <cell r="M248">
            <v>50</v>
          </cell>
          <cell r="O248">
            <v>10</v>
          </cell>
          <cell r="P248">
            <v>10</v>
          </cell>
          <cell r="Q248">
            <v>5</v>
          </cell>
        </row>
        <row r="249">
          <cell r="A249" t="str">
            <v>SI1544_20241017</v>
          </cell>
          <cell r="B249" t="str">
            <v>유재호</v>
          </cell>
          <cell r="C249">
            <v>45594</v>
          </cell>
          <cell r="D249" t="str">
            <v>설화수 진설클렌징폼 견본 15ml (25AD 외캡</v>
          </cell>
          <cell r="F249">
            <v>20</v>
          </cell>
          <cell r="G249">
            <v>20</v>
          </cell>
          <cell r="H249">
            <v>20</v>
          </cell>
          <cell r="I249">
            <v>20</v>
          </cell>
          <cell r="J249">
            <v>8</v>
          </cell>
          <cell r="K249">
            <v>10</v>
          </cell>
          <cell r="L249">
            <v>20</v>
          </cell>
          <cell r="M249">
            <v>30</v>
          </cell>
          <cell r="N249">
            <v>40</v>
          </cell>
          <cell r="O249">
            <v>15</v>
          </cell>
          <cell r="P249">
            <v>15</v>
          </cell>
          <cell r="Q249">
            <v>15</v>
          </cell>
          <cell r="R249">
            <v>10</v>
          </cell>
        </row>
        <row r="250">
          <cell r="A250" t="str">
            <v>SI1545_20241017</v>
          </cell>
          <cell r="B250" t="str">
            <v>유재호</v>
          </cell>
          <cell r="C250">
            <v>45594</v>
          </cell>
          <cell r="D250" t="str">
            <v>설화수 진설클렌징폼 견본 15ml (25AD 내캡</v>
          </cell>
          <cell r="F250">
            <v>20</v>
          </cell>
          <cell r="G250">
            <v>20</v>
          </cell>
          <cell r="H250">
            <v>20</v>
          </cell>
          <cell r="I250">
            <v>20</v>
          </cell>
          <cell r="J250">
            <v>8</v>
          </cell>
          <cell r="K250">
            <v>10</v>
          </cell>
          <cell r="L250">
            <v>20</v>
          </cell>
          <cell r="M250">
            <v>30</v>
          </cell>
          <cell r="N250">
            <v>40</v>
          </cell>
          <cell r="O250">
            <v>15</v>
          </cell>
          <cell r="P250">
            <v>15</v>
          </cell>
          <cell r="Q250">
            <v>15</v>
          </cell>
          <cell r="R250">
            <v>10</v>
          </cell>
        </row>
        <row r="251">
          <cell r="A251" t="str">
            <v>SI1522_20241028</v>
          </cell>
          <cell r="B251" t="str">
            <v>유재호</v>
          </cell>
          <cell r="C251">
            <v>45594</v>
          </cell>
          <cell r="D251" t="str">
            <v>아이오페 슈퍼바이탈 크림 50ML(24EC 내캡</v>
          </cell>
          <cell r="F251">
            <v>20</v>
          </cell>
          <cell r="G251">
            <v>20</v>
          </cell>
          <cell r="H251">
            <v>20</v>
          </cell>
          <cell r="I251">
            <v>20</v>
          </cell>
          <cell r="J251">
            <v>8</v>
          </cell>
          <cell r="K251">
            <v>60</v>
          </cell>
          <cell r="L251">
            <v>50</v>
          </cell>
          <cell r="M251">
            <v>40</v>
          </cell>
          <cell r="N251">
            <v>20</v>
          </cell>
          <cell r="O251">
            <v>5</v>
          </cell>
          <cell r="P251">
            <v>8</v>
          </cell>
          <cell r="Q251">
            <v>8</v>
          </cell>
          <cell r="R251">
            <v>5</v>
          </cell>
        </row>
        <row r="252">
          <cell r="A252" t="str">
            <v>SI1518_20241028</v>
          </cell>
          <cell r="B252" t="str">
            <v>장세래</v>
          </cell>
          <cell r="C252">
            <v>45594</v>
          </cell>
          <cell r="D252" t="str">
            <v>아이오페 슈퍼바이탈 크림 50ML(24EC 외용기</v>
          </cell>
          <cell r="F252">
            <v>100</v>
          </cell>
          <cell r="G252">
            <v>100</v>
          </cell>
          <cell r="H252">
            <v>100</v>
          </cell>
          <cell r="I252">
            <v>100</v>
          </cell>
          <cell r="J252">
            <v>5</v>
          </cell>
          <cell r="K252">
            <v>25</v>
          </cell>
          <cell r="L252">
            <v>50</v>
          </cell>
          <cell r="M252">
            <v>95</v>
          </cell>
          <cell r="N252">
            <v>110</v>
          </cell>
          <cell r="O252">
            <v>5</v>
          </cell>
          <cell r="P252">
            <v>5</v>
          </cell>
          <cell r="Q252">
            <v>5</v>
          </cell>
          <cell r="R252">
            <v>5</v>
          </cell>
        </row>
        <row r="253">
          <cell r="A253" t="str">
            <v>SI1520_20241028</v>
          </cell>
          <cell r="B253" t="str">
            <v>장세래</v>
          </cell>
          <cell r="C253">
            <v>45594</v>
          </cell>
          <cell r="D253" t="str">
            <v>아이오페 슈퍼바이탈 크림 50ML(24EC 용기받침</v>
          </cell>
          <cell r="F253">
            <v>150</v>
          </cell>
          <cell r="G253">
            <v>150</v>
          </cell>
          <cell r="H253">
            <v>150</v>
          </cell>
          <cell r="I253">
            <v>150</v>
          </cell>
          <cell r="J253">
            <v>5</v>
          </cell>
          <cell r="K253">
            <v>25</v>
          </cell>
          <cell r="L253">
            <v>50</v>
          </cell>
          <cell r="M253">
            <v>85</v>
          </cell>
          <cell r="N253">
            <v>90</v>
          </cell>
          <cell r="O253">
            <v>5</v>
          </cell>
          <cell r="P253">
            <v>5</v>
          </cell>
          <cell r="Q253">
            <v>5</v>
          </cell>
          <cell r="R253">
            <v>5</v>
          </cell>
        </row>
        <row r="254">
          <cell r="A254" t="str">
            <v>SI1516_20241028</v>
          </cell>
          <cell r="B254" t="str">
            <v>장세래</v>
          </cell>
          <cell r="C254">
            <v>45594</v>
          </cell>
          <cell r="D254" t="str">
            <v>아이오페 슈퍼바이탈 크림 50ML(24EC 외캡</v>
          </cell>
          <cell r="F254">
            <v>100</v>
          </cell>
          <cell r="G254">
            <v>100</v>
          </cell>
          <cell r="H254">
            <v>100</v>
          </cell>
          <cell r="I254">
            <v>100</v>
          </cell>
          <cell r="J254">
            <v>5</v>
          </cell>
          <cell r="K254">
            <v>30</v>
          </cell>
          <cell r="L254">
            <v>70</v>
          </cell>
          <cell r="M254">
            <v>100</v>
          </cell>
          <cell r="N254">
            <v>110</v>
          </cell>
          <cell r="O254">
            <v>5</v>
          </cell>
          <cell r="P254">
            <v>5</v>
          </cell>
          <cell r="Q254">
            <v>5</v>
          </cell>
          <cell r="R254">
            <v>5</v>
          </cell>
        </row>
        <row r="255">
          <cell r="A255" t="str">
            <v>SI1542_20241029</v>
          </cell>
          <cell r="B255" t="str">
            <v>장세래</v>
          </cell>
          <cell r="C255">
            <v>45596</v>
          </cell>
          <cell r="D255" t="str">
            <v>아이오페 스템Ⅲ 클리니컬 리커버리 크림 50ML(25) 내캡 사출</v>
          </cell>
          <cell r="F255">
            <v>250</v>
          </cell>
          <cell r="G255">
            <v>250</v>
          </cell>
          <cell r="H255">
            <v>250</v>
          </cell>
          <cell r="I255">
            <v>250</v>
          </cell>
          <cell r="J255">
            <v>5</v>
          </cell>
          <cell r="K255">
            <v>40</v>
          </cell>
          <cell r="L255">
            <v>90</v>
          </cell>
          <cell r="M255">
            <v>115</v>
          </cell>
          <cell r="N255">
            <v>120</v>
          </cell>
          <cell r="O255">
            <v>5</v>
          </cell>
          <cell r="P255">
            <v>5</v>
          </cell>
          <cell r="Q255">
            <v>5</v>
          </cell>
          <cell r="R255">
            <v>5</v>
          </cell>
        </row>
        <row r="256">
          <cell r="A256" t="str">
            <v>SI1540_20241029</v>
          </cell>
          <cell r="B256" t="str">
            <v>장세래</v>
          </cell>
          <cell r="C256">
            <v>45596</v>
          </cell>
          <cell r="D256" t="str">
            <v>아이오페 스템Ⅲ 클리니컬 리커버리 크림 50ML(25) 캡장식 사출</v>
          </cell>
          <cell r="F256">
            <v>200</v>
          </cell>
          <cell r="G256">
            <v>200</v>
          </cell>
          <cell r="H256">
            <v>200</v>
          </cell>
          <cell r="I256">
            <v>200</v>
          </cell>
          <cell r="J256">
            <v>5</v>
          </cell>
          <cell r="K256">
            <v>30</v>
          </cell>
          <cell r="L256">
            <v>40</v>
          </cell>
          <cell r="M256">
            <v>55</v>
          </cell>
          <cell r="N256">
            <v>60</v>
          </cell>
          <cell r="O256">
            <v>10</v>
          </cell>
          <cell r="P256">
            <v>10</v>
          </cell>
          <cell r="Q256">
            <v>10</v>
          </cell>
          <cell r="R256">
            <v>10</v>
          </cell>
        </row>
        <row r="257">
          <cell r="A257" t="str">
            <v>SI1541_20241029</v>
          </cell>
          <cell r="B257" t="str">
            <v>장세래</v>
          </cell>
          <cell r="C257">
            <v>45597</v>
          </cell>
          <cell r="D257" t="str">
            <v>아이오페 스템Ⅲ 클리니컬 리커버리 크림 50ML(25) 외캡 사출</v>
          </cell>
          <cell r="F257">
            <v>100</v>
          </cell>
          <cell r="G257">
            <v>100</v>
          </cell>
          <cell r="H257">
            <v>100</v>
          </cell>
          <cell r="J257">
            <v>5</v>
          </cell>
          <cell r="K257">
            <v>40</v>
          </cell>
          <cell r="L257">
            <v>95</v>
          </cell>
          <cell r="M257">
            <v>100</v>
          </cell>
          <cell r="O257">
            <v>10</v>
          </cell>
          <cell r="P257">
            <v>10</v>
          </cell>
          <cell r="Q257">
            <v>10</v>
          </cell>
        </row>
        <row r="258">
          <cell r="A258" t="str">
            <v>SI1557_20241026</v>
          </cell>
          <cell r="B258" t="str">
            <v>유재호</v>
          </cell>
          <cell r="C258">
            <v>45597</v>
          </cell>
          <cell r="D258" t="str">
            <v>라보에이치 모발강화 트리트먼트 200ml 50파이 원터치캡</v>
          </cell>
          <cell r="F258">
            <v>40</v>
          </cell>
          <cell r="G258">
            <v>40</v>
          </cell>
          <cell r="H258">
            <v>40</v>
          </cell>
          <cell r="I258">
            <v>40</v>
          </cell>
          <cell r="K258">
            <v>20</v>
          </cell>
          <cell r="L258">
            <v>60</v>
          </cell>
          <cell r="M258">
            <v>80</v>
          </cell>
          <cell r="N258">
            <v>100</v>
          </cell>
          <cell r="O258">
            <v>5</v>
          </cell>
          <cell r="P258">
            <v>20</v>
          </cell>
          <cell r="Q258">
            <v>20</v>
          </cell>
          <cell r="R258">
            <v>5</v>
          </cell>
        </row>
        <row r="259">
          <cell r="A259" t="str">
            <v>SI1559_20241026</v>
          </cell>
          <cell r="B259" t="str">
            <v>유재호</v>
          </cell>
          <cell r="C259">
            <v>45597</v>
          </cell>
          <cell r="D259" t="str">
            <v>라보에이치 모발강화 트리트먼트 300ml 60파이 원터치캡</v>
          </cell>
          <cell r="F259">
            <v>40</v>
          </cell>
          <cell r="G259">
            <v>40</v>
          </cell>
          <cell r="H259">
            <v>40</v>
          </cell>
          <cell r="I259">
            <v>40</v>
          </cell>
          <cell r="J259">
            <v>7</v>
          </cell>
          <cell r="K259">
            <v>20</v>
          </cell>
          <cell r="L259">
            <v>60</v>
          </cell>
          <cell r="M259">
            <v>80</v>
          </cell>
          <cell r="N259">
            <v>120</v>
          </cell>
          <cell r="O259">
            <v>10</v>
          </cell>
          <cell r="P259">
            <v>20</v>
          </cell>
          <cell r="Q259">
            <v>20</v>
          </cell>
          <cell r="R259">
            <v>10</v>
          </cell>
        </row>
        <row r="260">
          <cell r="A260" t="str">
            <v>SI1542_20241014</v>
          </cell>
          <cell r="B260" t="str">
            <v>장세래</v>
          </cell>
          <cell r="C260">
            <v>45584</v>
          </cell>
          <cell r="D260" t="str">
            <v>아이오페 스템Ⅲ 클리니컬 리커버리 크림 50ML(25) 내캡 사출</v>
          </cell>
          <cell r="F260">
            <v>200</v>
          </cell>
          <cell r="G260">
            <v>200</v>
          </cell>
          <cell r="H260">
            <v>200</v>
          </cell>
          <cell r="I260">
            <v>200</v>
          </cell>
          <cell r="J260">
            <v>5</v>
          </cell>
          <cell r="K260">
            <v>40</v>
          </cell>
          <cell r="L260">
            <v>85</v>
          </cell>
          <cell r="M260">
            <v>100</v>
          </cell>
          <cell r="N260">
            <v>105</v>
          </cell>
          <cell r="O260">
            <v>5</v>
          </cell>
          <cell r="P260">
            <v>5</v>
          </cell>
          <cell r="Q260">
            <v>5</v>
          </cell>
          <cell r="R260">
            <v>5</v>
          </cell>
        </row>
        <row r="261">
          <cell r="A261" t="str">
            <v>SI1560_20241026</v>
          </cell>
          <cell r="B261" t="str">
            <v>한창구</v>
          </cell>
          <cell r="C261">
            <v>45601</v>
          </cell>
          <cell r="D261" t="str">
            <v>라보에이치 모발강화 트리트먼트 300ml 60파이 장식</v>
          </cell>
          <cell r="F261">
            <v>100</v>
          </cell>
          <cell r="G261">
            <v>100</v>
          </cell>
          <cell r="H261">
            <v>100</v>
          </cell>
          <cell r="J261">
            <v>6</v>
          </cell>
          <cell r="K261">
            <v>20</v>
          </cell>
          <cell r="L261">
            <v>55</v>
          </cell>
          <cell r="M261">
            <v>60</v>
          </cell>
          <cell r="O261">
            <v>10</v>
          </cell>
          <cell r="P261">
            <v>10</v>
          </cell>
          <cell r="Q261">
            <v>6</v>
          </cell>
        </row>
        <row r="262">
          <cell r="A262" t="str">
            <v>SI1558_20241026</v>
          </cell>
          <cell r="B262" t="str">
            <v>한창구</v>
          </cell>
          <cell r="C262">
            <v>45601</v>
          </cell>
          <cell r="D262" t="str">
            <v>라보에이치 모발강화 트리트먼트 200ml 50파이 장식</v>
          </cell>
          <cell r="F262">
            <v>100</v>
          </cell>
          <cell r="G262">
            <v>100</v>
          </cell>
          <cell r="H262">
            <v>100</v>
          </cell>
          <cell r="J262">
            <v>6</v>
          </cell>
          <cell r="K262">
            <v>20</v>
          </cell>
          <cell r="L262">
            <v>45</v>
          </cell>
          <cell r="M262">
            <v>50</v>
          </cell>
          <cell r="O262">
            <v>10</v>
          </cell>
          <cell r="P262">
            <v>10</v>
          </cell>
          <cell r="Q262">
            <v>6</v>
          </cell>
        </row>
        <row r="263">
          <cell r="A263" t="str">
            <v>SI1553_20241101</v>
          </cell>
          <cell r="B263" t="str">
            <v>한창구</v>
          </cell>
          <cell r="C263">
            <v>45602</v>
          </cell>
          <cell r="D263" t="str">
            <v>설화수 진설클렌징폼 견본 40ml (25AD 내캡</v>
          </cell>
          <cell r="F263">
            <v>25</v>
          </cell>
          <cell r="G263">
            <v>25</v>
          </cell>
          <cell r="H263">
            <v>25</v>
          </cell>
          <cell r="I263">
            <v>25</v>
          </cell>
          <cell r="J263">
            <v>8</v>
          </cell>
          <cell r="K263">
            <v>25</v>
          </cell>
          <cell r="L263">
            <v>35</v>
          </cell>
          <cell r="M263">
            <v>55</v>
          </cell>
          <cell r="N263">
            <v>60</v>
          </cell>
          <cell r="O263">
            <v>5</v>
          </cell>
          <cell r="P263">
            <v>10</v>
          </cell>
          <cell r="Q263">
            <v>10</v>
          </cell>
          <cell r="R263">
            <v>5</v>
          </cell>
        </row>
        <row r="264">
          <cell r="A264" t="str">
            <v>SI1554_20241031</v>
          </cell>
          <cell r="B264" t="str">
            <v>한창구</v>
          </cell>
          <cell r="C264">
            <v>45602</v>
          </cell>
          <cell r="D264" t="str">
            <v>설화수 진설클렌징폼 견본 40ml (25AD 외캡</v>
          </cell>
          <cell r="F264">
            <v>25</v>
          </cell>
          <cell r="G264">
            <v>25</v>
          </cell>
          <cell r="H264">
            <v>25</v>
          </cell>
          <cell r="I264">
            <v>25</v>
          </cell>
          <cell r="J264">
            <v>8</v>
          </cell>
          <cell r="K264">
            <v>30</v>
          </cell>
          <cell r="L264">
            <v>40</v>
          </cell>
          <cell r="M264">
            <v>65</v>
          </cell>
          <cell r="N264">
            <v>70</v>
          </cell>
          <cell r="O264">
            <v>5</v>
          </cell>
          <cell r="P264">
            <v>10</v>
          </cell>
          <cell r="Q264">
            <v>10</v>
          </cell>
          <cell r="R264">
            <v>5</v>
          </cell>
        </row>
        <row r="265">
          <cell r="A265" t="str">
            <v>SI1519_20241108</v>
          </cell>
          <cell r="B265" t="str">
            <v>유재호</v>
          </cell>
          <cell r="C265">
            <v>45607</v>
          </cell>
          <cell r="D265" t="str">
            <v>아이오페 슈퍼바이탈 크림 50ML(24EC 내용기</v>
          </cell>
          <cell r="F265">
            <v>45</v>
          </cell>
          <cell r="G265">
            <v>45</v>
          </cell>
          <cell r="H265">
            <v>45</v>
          </cell>
          <cell r="J265">
            <v>3</v>
          </cell>
          <cell r="K265">
            <v>30</v>
          </cell>
          <cell r="L265">
            <v>65</v>
          </cell>
          <cell r="M265">
            <v>80</v>
          </cell>
        </row>
        <row r="266">
          <cell r="A266" t="str">
            <v>SI1537_20241109</v>
          </cell>
          <cell r="B266" t="str">
            <v>유재호</v>
          </cell>
          <cell r="C266">
            <v>45608</v>
          </cell>
          <cell r="D266" t="str">
            <v>설화수 진설클렌징폼 150ml (25AD 캡장식</v>
          </cell>
          <cell r="F266">
            <v>100</v>
          </cell>
          <cell r="G266">
            <v>100</v>
          </cell>
          <cell r="H266">
            <v>100</v>
          </cell>
          <cell r="J266">
            <v>4</v>
          </cell>
          <cell r="K266">
            <v>20</v>
          </cell>
          <cell r="L266">
            <v>40</v>
          </cell>
          <cell r="M266">
            <v>60</v>
          </cell>
          <cell r="O266">
            <v>10</v>
          </cell>
          <cell r="P266">
            <v>10</v>
          </cell>
          <cell r="Q266">
            <v>10</v>
          </cell>
        </row>
        <row r="267">
          <cell r="A267" t="str">
            <v>SI1542_20241112</v>
          </cell>
          <cell r="B267" t="str">
            <v>유재호</v>
          </cell>
          <cell r="C267">
            <v>45609</v>
          </cell>
          <cell r="D267" t="str">
            <v>아이오페 스템Ⅲ 클리니컬 리커버리 크림 50ML(25) 내캡 사출</v>
          </cell>
          <cell r="F267">
            <v>150</v>
          </cell>
          <cell r="G267">
            <v>300</v>
          </cell>
          <cell r="H267">
            <v>300</v>
          </cell>
          <cell r="I267">
            <v>300</v>
          </cell>
          <cell r="J267">
            <v>5</v>
          </cell>
          <cell r="K267">
            <v>20</v>
          </cell>
          <cell r="L267">
            <v>50</v>
          </cell>
          <cell r="M267">
            <v>100</v>
          </cell>
          <cell r="O267">
            <v>5</v>
          </cell>
          <cell r="P267">
            <v>5</v>
          </cell>
          <cell r="Q267">
            <v>5</v>
          </cell>
        </row>
        <row r="268">
          <cell r="A268" t="str">
            <v>SI1540_20241112</v>
          </cell>
          <cell r="B268" t="str">
            <v>유재호</v>
          </cell>
          <cell r="C268">
            <v>45609</v>
          </cell>
          <cell r="D268" t="str">
            <v>아이오페 스템Ⅲ 클리니컬 리커버리 크림 50ML(25) 캡장식 사출</v>
          </cell>
          <cell r="F268">
            <v>200</v>
          </cell>
          <cell r="G268">
            <v>200</v>
          </cell>
          <cell r="H268">
            <v>200</v>
          </cell>
          <cell r="I268">
            <v>200</v>
          </cell>
          <cell r="J268">
            <v>5</v>
          </cell>
          <cell r="K268">
            <v>30</v>
          </cell>
          <cell r="L268">
            <v>40</v>
          </cell>
          <cell r="M268">
            <v>55</v>
          </cell>
          <cell r="N268">
            <v>60</v>
          </cell>
          <cell r="O268">
            <v>10</v>
          </cell>
          <cell r="P268">
            <v>10</v>
          </cell>
          <cell r="Q268">
            <v>10</v>
          </cell>
          <cell r="R268">
            <v>10</v>
          </cell>
        </row>
        <row r="269">
          <cell r="A269" t="str">
            <v>SI1554_20241112</v>
          </cell>
          <cell r="B269" t="str">
            <v>유재호</v>
          </cell>
          <cell r="C269">
            <v>45615</v>
          </cell>
          <cell r="D269" t="str">
            <v>설화수 진설클렌징폼 견본 40ml (25AD 외캡</v>
          </cell>
          <cell r="F269">
            <v>45</v>
          </cell>
          <cell r="G269">
            <v>45</v>
          </cell>
          <cell r="J269">
            <v>3</v>
          </cell>
          <cell r="K269">
            <v>60</v>
          </cell>
          <cell r="L269">
            <v>70</v>
          </cell>
          <cell r="O269">
            <v>70</v>
          </cell>
          <cell r="P269">
            <v>80</v>
          </cell>
        </row>
        <row r="270">
          <cell r="A270" t="str">
            <v>SI1553_20241112</v>
          </cell>
          <cell r="B270" t="str">
            <v>유재호</v>
          </cell>
          <cell r="C270">
            <v>45615</v>
          </cell>
          <cell r="D270" t="str">
            <v>설화수 진설클렌징폼 견본 40ml (25AD 내캡</v>
          </cell>
          <cell r="F270">
            <v>45</v>
          </cell>
          <cell r="G270">
            <v>45</v>
          </cell>
          <cell r="J270">
            <v>3</v>
          </cell>
          <cell r="K270">
            <v>60</v>
          </cell>
          <cell r="L270">
            <v>70</v>
          </cell>
        </row>
        <row r="271">
          <cell r="A271" t="str">
            <v>SI1539_20241108</v>
          </cell>
          <cell r="B271" t="str">
            <v>유재호</v>
          </cell>
          <cell r="C271">
            <v>45616</v>
          </cell>
          <cell r="D271" t="str">
            <v>설화수 진설클렌징폼 150ml (25AD 내캡</v>
          </cell>
          <cell r="F271">
            <v>45</v>
          </cell>
          <cell r="G271">
            <v>45</v>
          </cell>
          <cell r="J271">
            <v>3</v>
          </cell>
          <cell r="K271">
            <v>70</v>
          </cell>
          <cell r="L271">
            <v>73</v>
          </cell>
        </row>
        <row r="272">
          <cell r="A272" t="str">
            <v>SI1544_20241118</v>
          </cell>
          <cell r="B272" t="str">
            <v>유재호</v>
          </cell>
          <cell r="C272">
            <v>45616</v>
          </cell>
          <cell r="D272" t="str">
            <v>설화수 진설클렌징폼 견본 15ml (25AD 외캡</v>
          </cell>
          <cell r="F272">
            <v>45</v>
          </cell>
          <cell r="G272">
            <v>45</v>
          </cell>
          <cell r="K272">
            <v>60</v>
          </cell>
          <cell r="L272">
            <v>70</v>
          </cell>
        </row>
        <row r="273">
          <cell r="A273" t="str">
            <v>SI1545_20241118</v>
          </cell>
          <cell r="B273" t="str">
            <v>유재호</v>
          </cell>
          <cell r="C273">
            <v>45616</v>
          </cell>
          <cell r="D273" t="str">
            <v>설화수 진설클렌징폼 견본 15ml (25AD 내캡</v>
          </cell>
          <cell r="F273">
            <v>45</v>
          </cell>
          <cell r="G273">
            <v>45</v>
          </cell>
          <cell r="J273">
            <v>3</v>
          </cell>
          <cell r="K273">
            <v>60</v>
          </cell>
          <cell r="L273">
            <v>70</v>
          </cell>
        </row>
        <row r="274">
          <cell r="A274" t="str">
            <v>SI1557_20241115</v>
          </cell>
          <cell r="B274" t="str">
            <v>유재호</v>
          </cell>
          <cell r="C274">
            <v>45618</v>
          </cell>
          <cell r="D274" t="str">
            <v>라보에이치 모발강화 트리트먼트 200ml 50파이 원터치캡</v>
          </cell>
          <cell r="F274">
            <v>50</v>
          </cell>
          <cell r="G274">
            <v>50</v>
          </cell>
          <cell r="H274">
            <v>50</v>
          </cell>
          <cell r="I274">
            <v>50</v>
          </cell>
          <cell r="K274">
            <v>35</v>
          </cell>
          <cell r="L274">
            <v>45</v>
          </cell>
          <cell r="M274">
            <v>80</v>
          </cell>
          <cell r="N274">
            <v>100</v>
          </cell>
          <cell r="O274">
            <v>10</v>
          </cell>
          <cell r="P274">
            <v>10</v>
          </cell>
          <cell r="Q274">
            <v>10</v>
          </cell>
          <cell r="R274">
            <v>5</v>
          </cell>
        </row>
        <row r="275">
          <cell r="A275" t="str">
            <v>SI1559_20241115</v>
          </cell>
          <cell r="B275" t="str">
            <v>유재호</v>
          </cell>
          <cell r="C275">
            <v>45618</v>
          </cell>
          <cell r="D275" t="str">
            <v>라보에이치 모발강화 트리트먼트 300ml 60파이 원터치캡</v>
          </cell>
          <cell r="F275">
            <v>50</v>
          </cell>
          <cell r="G275">
            <v>50</v>
          </cell>
          <cell r="H275">
            <v>50</v>
          </cell>
          <cell r="I275">
            <v>50</v>
          </cell>
          <cell r="J275">
            <v>5</v>
          </cell>
          <cell r="K275">
            <v>30</v>
          </cell>
          <cell r="L275">
            <v>45</v>
          </cell>
          <cell r="M275">
            <v>90</v>
          </cell>
          <cell r="N275">
            <v>120</v>
          </cell>
          <cell r="O275">
            <v>10</v>
          </cell>
          <cell r="P275">
            <v>10</v>
          </cell>
          <cell r="Q275">
            <v>10</v>
          </cell>
          <cell r="R275">
            <v>5</v>
          </cell>
        </row>
        <row r="276">
          <cell r="A276" t="str">
            <v>SI1519_20241122</v>
          </cell>
          <cell r="B276" t="str">
            <v>장세래</v>
          </cell>
          <cell r="C276">
            <v>45621</v>
          </cell>
          <cell r="D276" t="str">
            <v>아이오페 슈퍼바이탈 크림 50ML(24EC 내용기</v>
          </cell>
          <cell r="F276">
            <v>35</v>
          </cell>
          <cell r="G276">
            <v>40</v>
          </cell>
          <cell r="H276">
            <v>40</v>
          </cell>
          <cell r="I276">
            <v>35</v>
          </cell>
          <cell r="J276">
            <v>5</v>
          </cell>
          <cell r="K276">
            <v>45</v>
          </cell>
          <cell r="L276">
            <v>60</v>
          </cell>
          <cell r="M276">
            <v>95</v>
          </cell>
          <cell r="N276">
            <v>100</v>
          </cell>
          <cell r="O276">
            <v>15</v>
          </cell>
          <cell r="P276">
            <v>30</v>
          </cell>
          <cell r="Q276">
            <v>30</v>
          </cell>
          <cell r="R276">
            <v>15</v>
          </cell>
        </row>
        <row r="277">
          <cell r="A277" t="str">
            <v>SI1554_20241120</v>
          </cell>
          <cell r="B277" t="str">
            <v>한창구</v>
          </cell>
          <cell r="C277">
            <v>45622</v>
          </cell>
          <cell r="D277" t="str">
            <v>설화수 진설클렌징폼 견본 40ml (25AD 외캡</v>
          </cell>
          <cell r="F277">
            <v>50</v>
          </cell>
          <cell r="G277">
            <v>50</v>
          </cell>
          <cell r="H277">
            <v>50</v>
          </cell>
          <cell r="J277">
            <v>5</v>
          </cell>
          <cell r="K277">
            <v>40</v>
          </cell>
          <cell r="L277">
            <v>55</v>
          </cell>
          <cell r="M277">
            <v>60</v>
          </cell>
          <cell r="O277">
            <v>20</v>
          </cell>
          <cell r="P277">
            <v>28</v>
          </cell>
          <cell r="Q277">
            <v>25</v>
          </cell>
        </row>
        <row r="278">
          <cell r="A278" t="str">
            <v>SI1554_20241127</v>
          </cell>
          <cell r="B278" t="str">
            <v>장세래</v>
          </cell>
          <cell r="C278">
            <v>45624</v>
          </cell>
          <cell r="D278" t="str">
            <v>설화수 진설클렌징폼 견본 40ml (25AD 외캡</v>
          </cell>
          <cell r="F278">
            <v>50</v>
          </cell>
          <cell r="G278">
            <v>50</v>
          </cell>
          <cell r="H278">
            <v>50</v>
          </cell>
          <cell r="J278">
            <v>5</v>
          </cell>
          <cell r="K278">
            <v>40</v>
          </cell>
          <cell r="L278">
            <v>55</v>
          </cell>
          <cell r="M278">
            <v>60</v>
          </cell>
          <cell r="O278">
            <v>20</v>
          </cell>
          <cell r="P278">
            <v>28</v>
          </cell>
          <cell r="Q278">
            <v>25</v>
          </cell>
        </row>
        <row r="279">
          <cell r="A279" t="str">
            <v>SI1558_20241115</v>
          </cell>
          <cell r="B279" t="str">
            <v>장세래</v>
          </cell>
          <cell r="C279">
            <v>45624</v>
          </cell>
          <cell r="D279" t="str">
            <v>라보에이치 모발강화 트리트먼트 200ml 50파이 장식</v>
          </cell>
          <cell r="F279">
            <v>50</v>
          </cell>
          <cell r="G279">
            <v>50</v>
          </cell>
          <cell r="H279">
            <v>50</v>
          </cell>
          <cell r="I279">
            <v>50</v>
          </cell>
          <cell r="J279">
            <v>5</v>
          </cell>
          <cell r="K279">
            <v>60</v>
          </cell>
          <cell r="L279">
            <v>55</v>
          </cell>
          <cell r="M279">
            <v>40</v>
          </cell>
          <cell r="N279">
            <v>30</v>
          </cell>
          <cell r="O279">
            <v>10</v>
          </cell>
          <cell r="P279">
            <v>10</v>
          </cell>
          <cell r="Q279">
            <v>10</v>
          </cell>
          <cell r="R279">
            <v>10</v>
          </cell>
        </row>
        <row r="280">
          <cell r="A280" t="str">
            <v>SI1537_20241120</v>
          </cell>
          <cell r="B280" t="str">
            <v>유재호</v>
          </cell>
          <cell r="C280">
            <v>45630</v>
          </cell>
          <cell r="D280" t="str">
            <v>설화수 진설클렌징폼 150ml (25AD 캡장식</v>
          </cell>
          <cell r="F280">
            <v>100</v>
          </cell>
          <cell r="G280">
            <v>100</v>
          </cell>
          <cell r="H280">
            <v>100</v>
          </cell>
          <cell r="I280">
            <v>100</v>
          </cell>
          <cell r="J280">
            <v>6</v>
          </cell>
          <cell r="K280">
            <v>10</v>
          </cell>
          <cell r="L280">
            <v>40</v>
          </cell>
          <cell r="M280">
            <v>55</v>
          </cell>
          <cell r="N280">
            <v>60</v>
          </cell>
          <cell r="O280">
            <v>3</v>
          </cell>
          <cell r="P280">
            <v>5</v>
          </cell>
          <cell r="Q280">
            <v>5</v>
          </cell>
          <cell r="R280">
            <v>3</v>
          </cell>
        </row>
        <row r="281">
          <cell r="A281" t="str">
            <v>SI1538_20241120</v>
          </cell>
          <cell r="B281" t="str">
            <v>유재호</v>
          </cell>
          <cell r="C281">
            <v>45630</v>
          </cell>
          <cell r="D281" t="str">
            <v>설화수 진설클렌징폼 150ml (25AD 외캡</v>
          </cell>
          <cell r="F281">
            <v>100</v>
          </cell>
          <cell r="G281">
            <v>100</v>
          </cell>
          <cell r="H281">
            <v>100</v>
          </cell>
          <cell r="I281">
            <v>100</v>
          </cell>
          <cell r="K281">
            <v>40</v>
          </cell>
          <cell r="L281">
            <v>55</v>
          </cell>
          <cell r="M281">
            <v>80</v>
          </cell>
          <cell r="P281">
            <v>25</v>
          </cell>
          <cell r="Q281">
            <v>25</v>
          </cell>
          <cell r="R281">
            <v>25</v>
          </cell>
        </row>
        <row r="282">
          <cell r="A282" t="str">
            <v>SI1539_20241120</v>
          </cell>
          <cell r="B282" t="str">
            <v>유재호</v>
          </cell>
          <cell r="C282">
            <v>45630</v>
          </cell>
          <cell r="D282" t="str">
            <v>설화수 진설클렌징폼 150ml (25AD 내캡</v>
          </cell>
          <cell r="F282">
            <v>80</v>
          </cell>
          <cell r="G282">
            <v>80</v>
          </cell>
          <cell r="H282">
            <v>80</v>
          </cell>
          <cell r="I282">
            <v>80</v>
          </cell>
          <cell r="K282">
            <v>30</v>
          </cell>
          <cell r="L282">
            <v>45</v>
          </cell>
          <cell r="M282">
            <v>55</v>
          </cell>
          <cell r="N282">
            <v>80</v>
          </cell>
          <cell r="O282">
            <v>10</v>
          </cell>
          <cell r="P282">
            <v>10</v>
          </cell>
          <cell r="Q282">
            <v>10</v>
          </cell>
        </row>
        <row r="283">
          <cell r="A283" t="str">
            <v>SI1541_20241205</v>
          </cell>
          <cell r="B283" t="str">
            <v>장세래</v>
          </cell>
          <cell r="C283">
            <v>45635</v>
          </cell>
          <cell r="D283" t="str">
            <v>아이오페 스템Ⅲ 클리니컬 리커버리 크림 50ML(25) 외캡 사출</v>
          </cell>
          <cell r="F283">
            <v>100</v>
          </cell>
          <cell r="G283">
            <v>100</v>
          </cell>
          <cell r="H283">
            <v>100</v>
          </cell>
          <cell r="I283">
            <v>100</v>
          </cell>
          <cell r="J283">
            <v>5</v>
          </cell>
          <cell r="K283">
            <v>40</v>
          </cell>
          <cell r="L283">
            <v>60</v>
          </cell>
          <cell r="M283">
            <v>95</v>
          </cell>
          <cell r="N283">
            <v>100</v>
          </cell>
          <cell r="O283">
            <v>10</v>
          </cell>
          <cell r="P283">
            <v>10</v>
          </cell>
          <cell r="Q283">
            <v>10</v>
          </cell>
          <cell r="R283">
            <v>10</v>
          </cell>
        </row>
        <row r="284">
          <cell r="A284" t="str">
            <v>SI1540_20241205</v>
          </cell>
          <cell r="B284" t="str">
            <v>장세래</v>
          </cell>
          <cell r="C284">
            <v>45635</v>
          </cell>
          <cell r="D284" t="str">
            <v>아이오페 스템Ⅲ 클리니컬 리커버리 크림 50ML(25) 캡장식 사출</v>
          </cell>
          <cell r="F284">
            <v>100</v>
          </cell>
          <cell r="G284">
            <v>100</v>
          </cell>
          <cell r="H284">
            <v>100</v>
          </cell>
          <cell r="I284">
            <v>100</v>
          </cell>
          <cell r="J284">
            <v>5</v>
          </cell>
          <cell r="K284">
            <v>20</v>
          </cell>
          <cell r="L284">
            <v>40</v>
          </cell>
          <cell r="M284">
            <v>55</v>
          </cell>
          <cell r="N284">
            <v>60</v>
          </cell>
          <cell r="O284">
            <v>10</v>
          </cell>
          <cell r="P284">
            <v>10</v>
          </cell>
          <cell r="Q284">
            <v>10</v>
          </cell>
          <cell r="R284">
            <v>10</v>
          </cell>
        </row>
        <row r="285">
          <cell r="A285" t="str">
            <v>SI1542_20241205</v>
          </cell>
          <cell r="B285" t="str">
            <v>유재호</v>
          </cell>
          <cell r="C285">
            <v>45637</v>
          </cell>
          <cell r="D285" t="str">
            <v>아이오페 스템Ⅲ 클리니컬 리커버리 크림 50ML(25) 내캡 사출</v>
          </cell>
          <cell r="F285">
            <v>45</v>
          </cell>
          <cell r="G285">
            <v>45</v>
          </cell>
          <cell r="J285">
            <v>4</v>
          </cell>
          <cell r="K285">
            <v>85</v>
          </cell>
          <cell r="L285">
            <v>110</v>
          </cell>
        </row>
        <row r="286">
          <cell r="A286" t="str">
            <v>SI1540_20241211</v>
          </cell>
          <cell r="B286" t="str">
            <v>장세래</v>
          </cell>
          <cell r="C286">
            <v>45637</v>
          </cell>
          <cell r="D286" t="str">
            <v>아이오페 스템Ⅲ 클리니컬 리커버리 크림 50ML(25) 캡장식 사출</v>
          </cell>
          <cell r="F286">
            <v>100</v>
          </cell>
          <cell r="G286">
            <v>100</v>
          </cell>
          <cell r="H286">
            <v>100</v>
          </cell>
          <cell r="I286">
            <v>100</v>
          </cell>
          <cell r="J286">
            <v>5</v>
          </cell>
          <cell r="K286">
            <v>20</v>
          </cell>
          <cell r="L286">
            <v>40</v>
          </cell>
          <cell r="M286">
            <v>55</v>
          </cell>
          <cell r="N286">
            <v>60</v>
          </cell>
          <cell r="O286">
            <v>10</v>
          </cell>
          <cell r="P286">
            <v>10</v>
          </cell>
          <cell r="Q286">
            <v>10</v>
          </cell>
          <cell r="R286">
            <v>10</v>
          </cell>
        </row>
        <row r="287">
          <cell r="A287" t="str">
            <v>SI1540_20241216</v>
          </cell>
          <cell r="B287" t="str">
            <v>장세래</v>
          </cell>
          <cell r="C287">
            <v>45642</v>
          </cell>
          <cell r="D287" t="str">
            <v>아이오페 스템Ⅲ 클리니컬 리커버리 크림 50ML(25) 캡장식 사출</v>
          </cell>
          <cell r="F287">
            <v>100</v>
          </cell>
          <cell r="G287">
            <v>100</v>
          </cell>
          <cell r="H287">
            <v>100</v>
          </cell>
          <cell r="I287">
            <v>100</v>
          </cell>
          <cell r="J287">
            <v>5</v>
          </cell>
          <cell r="K287">
            <v>20</v>
          </cell>
          <cell r="L287">
            <v>40</v>
          </cell>
          <cell r="M287">
            <v>55</v>
          </cell>
          <cell r="N287">
            <v>60</v>
          </cell>
          <cell r="O287">
            <v>5</v>
          </cell>
          <cell r="P287">
            <v>5</v>
          </cell>
          <cell r="Q287">
            <v>5</v>
          </cell>
          <cell r="R287">
            <v>5</v>
          </cell>
        </row>
        <row r="288">
          <cell r="A288" t="str">
            <v>SI1537_20241211</v>
          </cell>
          <cell r="B288" t="str">
            <v>장세래</v>
          </cell>
          <cell r="C288">
            <v>45642</v>
          </cell>
          <cell r="D288" t="str">
            <v>설화수 진설클렌징폼 150ml (25AD 캡장식</v>
          </cell>
          <cell r="F288">
            <v>100</v>
          </cell>
          <cell r="G288">
            <v>100</v>
          </cell>
          <cell r="H288">
            <v>100</v>
          </cell>
          <cell r="I288">
            <v>100</v>
          </cell>
          <cell r="J288">
            <v>5</v>
          </cell>
          <cell r="K288">
            <v>35</v>
          </cell>
          <cell r="L288">
            <v>40</v>
          </cell>
          <cell r="M288">
            <v>55</v>
          </cell>
          <cell r="N288">
            <v>60</v>
          </cell>
          <cell r="O288">
            <v>5</v>
          </cell>
          <cell r="P288">
            <v>5</v>
          </cell>
          <cell r="Q288">
            <v>5</v>
          </cell>
          <cell r="R288">
            <v>5</v>
          </cell>
        </row>
        <row r="289">
          <cell r="A289" t="str">
            <v>SI1519_20241215</v>
          </cell>
          <cell r="B289" t="str">
            <v>한창구</v>
          </cell>
          <cell r="C289">
            <v>45643</v>
          </cell>
          <cell r="D289" t="str">
            <v>아이오페 슈퍼바이탈 크림 50ML(24EC 내용기</v>
          </cell>
          <cell r="F289">
            <v>40</v>
          </cell>
          <cell r="G289">
            <v>40</v>
          </cell>
          <cell r="H289">
            <v>40</v>
          </cell>
          <cell r="I289">
            <v>40</v>
          </cell>
          <cell r="J289">
            <v>7</v>
          </cell>
          <cell r="K289">
            <v>30</v>
          </cell>
          <cell r="L289">
            <v>40</v>
          </cell>
          <cell r="M289">
            <v>75</v>
          </cell>
          <cell r="N289">
            <v>80</v>
          </cell>
          <cell r="O289">
            <v>10</v>
          </cell>
          <cell r="P289">
            <v>25</v>
          </cell>
          <cell r="Q289">
            <v>25</v>
          </cell>
          <cell r="R289">
            <v>10</v>
          </cell>
        </row>
        <row r="290">
          <cell r="A290" t="str">
            <v>SI1586_20241218</v>
          </cell>
          <cell r="B290" t="str">
            <v>장세래</v>
          </cell>
          <cell r="C290">
            <v>45644</v>
          </cell>
          <cell r="D290" t="str">
            <v>아이오페 슈퍼바이탈 크림 50ML(24EC 외용기</v>
          </cell>
          <cell r="F290">
            <v>45</v>
          </cell>
          <cell r="G290">
            <v>45</v>
          </cell>
          <cell r="H290">
            <v>45</v>
          </cell>
          <cell r="I290">
            <v>45</v>
          </cell>
          <cell r="J290">
            <v>5</v>
          </cell>
          <cell r="K290">
            <v>30</v>
          </cell>
          <cell r="L290">
            <v>60</v>
          </cell>
          <cell r="M290">
            <v>90</v>
          </cell>
          <cell r="N290">
            <v>100</v>
          </cell>
          <cell r="O290">
            <v>2</v>
          </cell>
          <cell r="P290">
            <v>2</v>
          </cell>
          <cell r="Q290">
            <v>2</v>
          </cell>
          <cell r="R290">
            <v>2</v>
          </cell>
        </row>
        <row r="291">
          <cell r="A291" t="str">
            <v>SI1586_20241219</v>
          </cell>
          <cell r="B291" t="str">
            <v>장세래</v>
          </cell>
          <cell r="C291">
            <v>45644</v>
          </cell>
          <cell r="D291" t="str">
            <v>아이오페 슈퍼바이탈 크림 50ML(24EC 외용기</v>
          </cell>
          <cell r="F291">
            <v>45</v>
          </cell>
          <cell r="G291">
            <v>45</v>
          </cell>
          <cell r="H291">
            <v>45</v>
          </cell>
          <cell r="I291">
            <v>45</v>
          </cell>
          <cell r="J291">
            <v>5</v>
          </cell>
          <cell r="K291">
            <v>30</v>
          </cell>
          <cell r="L291">
            <v>60</v>
          </cell>
          <cell r="M291">
            <v>90</v>
          </cell>
          <cell r="N291">
            <v>100</v>
          </cell>
          <cell r="O291">
            <v>2</v>
          </cell>
          <cell r="P291">
            <v>2</v>
          </cell>
          <cell r="Q291">
            <v>2</v>
          </cell>
          <cell r="R291">
            <v>2</v>
          </cell>
        </row>
        <row r="292">
          <cell r="A292" t="str">
            <v>SI1589_20241218</v>
          </cell>
          <cell r="B292" t="str">
            <v>한창구</v>
          </cell>
          <cell r="C292">
            <v>45645</v>
          </cell>
          <cell r="D292" t="str">
            <v>아이오페 슈퍼바이탈 크림 50ML(24EC 외캡</v>
          </cell>
          <cell r="F292">
            <v>80</v>
          </cell>
          <cell r="G292">
            <v>80</v>
          </cell>
          <cell r="H292">
            <v>80</v>
          </cell>
          <cell r="J292">
            <v>10</v>
          </cell>
          <cell r="K292">
            <v>10</v>
          </cell>
          <cell r="L292">
            <v>95</v>
          </cell>
          <cell r="M292">
            <v>100</v>
          </cell>
          <cell r="O292">
            <v>5</v>
          </cell>
          <cell r="P292">
            <v>10</v>
          </cell>
          <cell r="Q292">
            <v>8</v>
          </cell>
        </row>
        <row r="293">
          <cell r="A293" t="str">
            <v>SI1589_20241219</v>
          </cell>
          <cell r="B293" t="str">
            <v>한창구</v>
          </cell>
          <cell r="C293">
            <v>45645</v>
          </cell>
          <cell r="D293" t="str">
            <v>아이오페 슈퍼바이탈 크림 50ML(24EC 외캡</v>
          </cell>
          <cell r="F293">
            <v>80</v>
          </cell>
          <cell r="G293">
            <v>80</v>
          </cell>
          <cell r="H293">
            <v>80</v>
          </cell>
          <cell r="J293">
            <v>10</v>
          </cell>
          <cell r="K293">
            <v>10</v>
          </cell>
          <cell r="L293">
            <v>95</v>
          </cell>
          <cell r="M293">
            <v>100</v>
          </cell>
          <cell r="O293">
            <v>5</v>
          </cell>
          <cell r="P293">
            <v>10</v>
          </cell>
          <cell r="Q293">
            <v>8</v>
          </cell>
        </row>
        <row r="294">
          <cell r="A294" t="str">
            <v>SI1587_20241218</v>
          </cell>
          <cell r="B294" t="str">
            <v>민병태</v>
          </cell>
          <cell r="C294">
            <v>45645</v>
          </cell>
          <cell r="D294" t="str">
            <v>아이오페 슈퍼바이탈 크림 50ML(24EC 용기받침</v>
          </cell>
          <cell r="F294">
            <v>80</v>
          </cell>
          <cell r="G294">
            <v>80</v>
          </cell>
          <cell r="H294">
            <v>80</v>
          </cell>
          <cell r="J294">
            <v>10</v>
          </cell>
          <cell r="K294">
            <v>30</v>
          </cell>
          <cell r="L294">
            <v>70</v>
          </cell>
          <cell r="O294">
            <v>10</v>
          </cell>
          <cell r="P294">
            <v>10</v>
          </cell>
          <cell r="Q294">
            <v>10</v>
          </cell>
          <cell r="R294">
            <v>8</v>
          </cell>
        </row>
        <row r="295">
          <cell r="A295" t="str">
            <v>SI1587_20241219</v>
          </cell>
          <cell r="B295" t="str">
            <v>민병태</v>
          </cell>
          <cell r="C295">
            <v>45645</v>
          </cell>
          <cell r="D295" t="str">
            <v>아이오페 슈퍼바이탈 크림 50ML(24EC 용기받침</v>
          </cell>
          <cell r="F295">
            <v>80</v>
          </cell>
          <cell r="G295">
            <v>80</v>
          </cell>
          <cell r="H295">
            <v>80</v>
          </cell>
          <cell r="J295">
            <v>10</v>
          </cell>
          <cell r="K295">
            <v>30</v>
          </cell>
          <cell r="L295">
            <v>70</v>
          </cell>
          <cell r="O295">
            <v>10</v>
          </cell>
          <cell r="P295">
            <v>10</v>
          </cell>
          <cell r="Q295">
            <v>10</v>
          </cell>
          <cell r="R295">
            <v>8</v>
          </cell>
        </row>
        <row r="296">
          <cell r="A296" t="str">
            <v>SI1588_20241218</v>
          </cell>
          <cell r="B296" t="str">
            <v>남기갑</v>
          </cell>
          <cell r="C296">
            <v>45646</v>
          </cell>
          <cell r="D296" t="str">
            <v>아이오페 슈퍼바이탈 크림 50ML(24EC 캡장식</v>
          </cell>
          <cell r="F296">
            <v>80</v>
          </cell>
          <cell r="G296">
            <v>80</v>
          </cell>
          <cell r="H296">
            <v>80</v>
          </cell>
          <cell r="J296">
            <v>10</v>
          </cell>
          <cell r="K296">
            <v>70</v>
          </cell>
          <cell r="L296">
            <v>95</v>
          </cell>
          <cell r="M296">
            <v>100</v>
          </cell>
          <cell r="O296">
            <v>5</v>
          </cell>
          <cell r="P296">
            <v>10</v>
          </cell>
          <cell r="Q296">
            <v>8</v>
          </cell>
        </row>
        <row r="297">
          <cell r="A297" t="str">
            <v>SI1588_20241219</v>
          </cell>
          <cell r="B297" t="str">
            <v>남기갑</v>
          </cell>
          <cell r="C297">
            <v>45646</v>
          </cell>
          <cell r="D297" t="str">
            <v>아이오페 슈퍼바이탈 크림 50ML(24EC 캡장식</v>
          </cell>
          <cell r="F297">
            <v>80</v>
          </cell>
          <cell r="G297">
            <v>80</v>
          </cell>
          <cell r="H297">
            <v>80</v>
          </cell>
          <cell r="J297">
            <v>10</v>
          </cell>
          <cell r="K297">
            <v>70</v>
          </cell>
          <cell r="L297">
            <v>95</v>
          </cell>
          <cell r="M297">
            <v>100</v>
          </cell>
          <cell r="O297">
            <v>5</v>
          </cell>
          <cell r="P297">
            <v>10</v>
          </cell>
          <cell r="Q297">
            <v>8</v>
          </cell>
        </row>
        <row r="298">
          <cell r="A298" t="str">
            <v>SI1557_20241218</v>
          </cell>
          <cell r="B298" t="str">
            <v>유재호</v>
          </cell>
          <cell r="C298">
            <v>45649</v>
          </cell>
          <cell r="D298" t="str">
            <v>라보에이치 모발강화 트리트먼트 200ml 50파이 원터치캡</v>
          </cell>
          <cell r="F298">
            <v>80</v>
          </cell>
          <cell r="G298">
            <v>80</v>
          </cell>
          <cell r="H298">
            <v>80</v>
          </cell>
          <cell r="K298">
            <v>10</v>
          </cell>
          <cell r="L298">
            <v>95</v>
          </cell>
          <cell r="M298">
            <v>120</v>
          </cell>
          <cell r="O298">
            <v>5</v>
          </cell>
          <cell r="P298">
            <v>10</v>
          </cell>
          <cell r="Q298">
            <v>8</v>
          </cell>
        </row>
        <row r="299">
          <cell r="A299" t="str">
            <v>SI1541_20241222</v>
          </cell>
          <cell r="B299" t="str">
            <v>한창구</v>
          </cell>
          <cell r="C299">
            <v>45650</v>
          </cell>
          <cell r="D299" t="str">
            <v>아이오페 스템Ⅲ 클리니컬 리커버리 크림 50ML(25) 외캡 사출</v>
          </cell>
          <cell r="F299">
            <v>60</v>
          </cell>
          <cell r="G299">
            <v>60</v>
          </cell>
          <cell r="H299">
            <v>60</v>
          </cell>
          <cell r="J299">
            <v>4</v>
          </cell>
          <cell r="K299">
            <v>20</v>
          </cell>
          <cell r="L299">
            <v>75</v>
          </cell>
          <cell r="M299">
            <v>80</v>
          </cell>
          <cell r="O299">
            <v>10</v>
          </cell>
          <cell r="P299">
            <v>10</v>
          </cell>
          <cell r="Q299">
            <v>8</v>
          </cell>
        </row>
        <row r="300">
          <cell r="A300" t="str">
            <v>SI1560_20241218</v>
          </cell>
          <cell r="B300" t="str">
            <v>유재호</v>
          </cell>
          <cell r="C300">
            <v>45651</v>
          </cell>
          <cell r="D300" t="str">
            <v>라보에이치 모발강화 트리트먼트 300ml 60파이 장식</v>
          </cell>
          <cell r="F300">
            <v>80</v>
          </cell>
          <cell r="G300">
            <v>80</v>
          </cell>
          <cell r="H300">
            <v>80</v>
          </cell>
          <cell r="I300">
            <v>80</v>
          </cell>
          <cell r="J300">
            <v>4</v>
          </cell>
          <cell r="K300">
            <v>20</v>
          </cell>
          <cell r="L300">
            <v>40</v>
          </cell>
          <cell r="M300">
            <v>50</v>
          </cell>
          <cell r="N300">
            <v>70</v>
          </cell>
          <cell r="O300">
            <v>10</v>
          </cell>
          <cell r="P300">
            <v>15</v>
          </cell>
          <cell r="Q300">
            <v>10</v>
          </cell>
          <cell r="R300">
            <v>3</v>
          </cell>
        </row>
        <row r="301">
          <cell r="A301" t="str">
            <v>SI1558_20241218</v>
          </cell>
          <cell r="B301" t="str">
            <v>유재호</v>
          </cell>
          <cell r="C301">
            <v>45651</v>
          </cell>
          <cell r="D301" t="str">
            <v>라보에이치 모발강화 트리트먼트 200ml 50파이 장식</v>
          </cell>
          <cell r="F301">
            <v>80</v>
          </cell>
          <cell r="G301">
            <v>80</v>
          </cell>
          <cell r="H301">
            <v>80</v>
          </cell>
          <cell r="I301">
            <v>80</v>
          </cell>
          <cell r="J301">
            <v>4</v>
          </cell>
          <cell r="K301">
            <v>30</v>
          </cell>
          <cell r="L301">
            <v>40</v>
          </cell>
          <cell r="M301">
            <v>50</v>
          </cell>
          <cell r="N301">
            <v>60</v>
          </cell>
          <cell r="O301">
            <v>10</v>
          </cell>
          <cell r="P301">
            <v>15</v>
          </cell>
          <cell r="Q301">
            <v>10</v>
          </cell>
          <cell r="R301">
            <v>5</v>
          </cell>
        </row>
        <row r="302">
          <cell r="A302" t="str">
            <v>SI1542_20241225</v>
          </cell>
          <cell r="B302" t="str">
            <v>한창구</v>
          </cell>
          <cell r="C302">
            <v>45651</v>
          </cell>
          <cell r="D302" t="str">
            <v>아이오페 스템Ⅲ 클리니컬 리커버리 크림 50ML(25) 내캡 사출</v>
          </cell>
          <cell r="F302">
            <v>30</v>
          </cell>
          <cell r="G302">
            <v>30</v>
          </cell>
          <cell r="H302">
            <v>30</v>
          </cell>
          <cell r="I302">
            <v>30</v>
          </cell>
          <cell r="J302">
            <v>8</v>
          </cell>
          <cell r="K302">
            <v>20</v>
          </cell>
          <cell r="L302">
            <v>60</v>
          </cell>
          <cell r="M302">
            <v>80</v>
          </cell>
          <cell r="N302">
            <v>100</v>
          </cell>
          <cell r="O302">
            <v>3</v>
          </cell>
          <cell r="P302">
            <v>3</v>
          </cell>
          <cell r="Q302">
            <v>3</v>
          </cell>
          <cell r="R302">
            <v>1</v>
          </cell>
        </row>
        <row r="303">
          <cell r="A303" t="str">
            <v>SI1519_20250102</v>
          </cell>
          <cell r="B303" t="str">
            <v>장세래</v>
          </cell>
          <cell r="C303">
            <v>45660</v>
          </cell>
          <cell r="D303" t="str">
            <v>아이오페 슈퍼바이탈 크림 50ML(24EC 내용기</v>
          </cell>
          <cell r="F303">
            <v>40</v>
          </cell>
          <cell r="G303">
            <v>40</v>
          </cell>
          <cell r="H303">
            <v>40</v>
          </cell>
          <cell r="I303">
            <v>40</v>
          </cell>
          <cell r="J303">
            <v>7</v>
          </cell>
          <cell r="K303">
            <v>30</v>
          </cell>
          <cell r="L303">
            <v>40</v>
          </cell>
          <cell r="M303">
            <v>75</v>
          </cell>
          <cell r="N303">
            <v>80</v>
          </cell>
          <cell r="O303">
            <v>10</v>
          </cell>
          <cell r="P303">
            <v>25</v>
          </cell>
          <cell r="Q303">
            <v>25</v>
          </cell>
          <cell r="R303">
            <v>10</v>
          </cell>
        </row>
        <row r="304">
          <cell r="A304" t="str">
            <v>SI1560_20250106</v>
          </cell>
          <cell r="B304" t="str">
            <v>한창구</v>
          </cell>
          <cell r="C304">
            <v>45663</v>
          </cell>
          <cell r="D304" t="str">
            <v>라보에이치 모발강화 트리트먼트 300ml 60파이 장식</v>
          </cell>
          <cell r="F304">
            <v>150</v>
          </cell>
          <cell r="G304">
            <v>150</v>
          </cell>
          <cell r="H304">
            <v>150</v>
          </cell>
          <cell r="J304">
            <v>6</v>
          </cell>
          <cell r="K304">
            <v>20</v>
          </cell>
          <cell r="L304">
            <v>55</v>
          </cell>
          <cell r="M304">
            <v>60</v>
          </cell>
          <cell r="O304">
            <v>10</v>
          </cell>
          <cell r="P304">
            <v>10</v>
          </cell>
          <cell r="Q304">
            <v>5</v>
          </cell>
        </row>
        <row r="305">
          <cell r="A305" t="str">
            <v>SI1541_20250106</v>
          </cell>
          <cell r="B305" t="str">
            <v>장세래</v>
          </cell>
          <cell r="C305">
            <v>45664</v>
          </cell>
          <cell r="D305" t="str">
            <v>아이오페 스템Ⅲ 클리니컬 리커버리 크림 50ML(25) 외캡 사출</v>
          </cell>
          <cell r="F305">
            <v>60</v>
          </cell>
          <cell r="G305">
            <v>60</v>
          </cell>
          <cell r="H305">
            <v>60</v>
          </cell>
          <cell r="I305">
            <v>60</v>
          </cell>
          <cell r="J305">
            <v>5</v>
          </cell>
          <cell r="K305">
            <v>80</v>
          </cell>
          <cell r="L305">
            <v>75</v>
          </cell>
          <cell r="M305">
            <v>40</v>
          </cell>
          <cell r="N305">
            <v>30</v>
          </cell>
          <cell r="O305">
            <v>5</v>
          </cell>
          <cell r="P305">
            <v>5</v>
          </cell>
          <cell r="Q305">
            <v>5</v>
          </cell>
          <cell r="R305">
            <v>5</v>
          </cell>
        </row>
        <row r="306">
          <cell r="A306" t="str">
            <v>SI1540_20250106</v>
          </cell>
          <cell r="B306" t="str">
            <v>장세래</v>
          </cell>
          <cell r="C306">
            <v>45664</v>
          </cell>
          <cell r="D306" t="str">
            <v>아이오페 스템Ⅲ 클리니컬 리커버리 크림 50ML(25) 캡장식 사출</v>
          </cell>
          <cell r="F306">
            <v>100</v>
          </cell>
          <cell r="G306">
            <v>100</v>
          </cell>
          <cell r="H306">
            <v>100</v>
          </cell>
          <cell r="I306">
            <v>100</v>
          </cell>
          <cell r="J306">
            <v>5</v>
          </cell>
          <cell r="K306">
            <v>20</v>
          </cell>
          <cell r="L306">
            <v>40</v>
          </cell>
          <cell r="M306">
            <v>55</v>
          </cell>
          <cell r="N306">
            <v>60</v>
          </cell>
          <cell r="O306">
            <v>5</v>
          </cell>
          <cell r="P306">
            <v>5</v>
          </cell>
          <cell r="Q306">
            <v>5</v>
          </cell>
          <cell r="R306">
            <v>5</v>
          </cell>
        </row>
        <row r="307">
          <cell r="A307" t="str">
            <v>SI1569_20250110</v>
          </cell>
          <cell r="B307" t="str">
            <v>장세래</v>
          </cell>
          <cell r="C307">
            <v>45666</v>
          </cell>
          <cell r="D307" t="str">
            <v>(수출)라네즈 유스콜라겐드링크 25ml*30EA 패키지변경 25AD 캡</v>
          </cell>
          <cell r="F307">
            <v>80</v>
          </cell>
          <cell r="G307">
            <v>80</v>
          </cell>
          <cell r="H307">
            <v>80</v>
          </cell>
          <cell r="K307">
            <v>30</v>
          </cell>
          <cell r="L307">
            <v>75</v>
          </cell>
          <cell r="M307">
            <v>105</v>
          </cell>
          <cell r="O307">
            <v>1</v>
          </cell>
          <cell r="P307">
            <v>1</v>
          </cell>
          <cell r="Q307">
            <v>1</v>
          </cell>
        </row>
        <row r="308">
          <cell r="A308" t="str">
            <v>SI1543_20250115</v>
          </cell>
          <cell r="B308" t="str">
            <v>한창구</v>
          </cell>
          <cell r="C308">
            <v>45673</v>
          </cell>
          <cell r="D308" t="str">
            <v>아이오페 스템Ⅲ 클리니컬 리커버리 크림 50ML(25) 내용기</v>
          </cell>
          <cell r="F308">
            <v>120</v>
          </cell>
          <cell r="G308">
            <v>120</v>
          </cell>
          <cell r="H308">
            <v>120</v>
          </cell>
          <cell r="J308">
            <v>5</v>
          </cell>
          <cell r="K308">
            <v>120</v>
          </cell>
          <cell r="L308">
            <v>110</v>
          </cell>
          <cell r="M308">
            <v>30</v>
          </cell>
          <cell r="O308">
            <v>15</v>
          </cell>
          <cell r="P308">
            <v>15</v>
          </cell>
          <cell r="Q308">
            <v>10</v>
          </cell>
        </row>
        <row r="309">
          <cell r="A309" t="str">
            <v>SI1582_20250116</v>
          </cell>
          <cell r="B309" t="str">
            <v>한창구</v>
          </cell>
          <cell r="C309">
            <v>45674</v>
          </cell>
          <cell r="D309" t="str">
            <v>미장센 헬로 젤리 팡팡 상용기(글로우쿠션 금형)</v>
          </cell>
          <cell r="F309">
            <v>80</v>
          </cell>
          <cell r="G309">
            <v>80</v>
          </cell>
          <cell r="H309">
            <v>80</v>
          </cell>
          <cell r="K309">
            <v>20</v>
          </cell>
          <cell r="L309">
            <v>90</v>
          </cell>
          <cell r="M309">
            <v>100</v>
          </cell>
          <cell r="O309">
            <v>25</v>
          </cell>
          <cell r="P309">
            <v>25</v>
          </cell>
          <cell r="Q309">
            <v>20</v>
          </cell>
        </row>
        <row r="310">
          <cell r="A310" t="str">
            <v>SI1583_20250116</v>
          </cell>
          <cell r="B310" t="str">
            <v>한창구</v>
          </cell>
          <cell r="C310">
            <v>45674</v>
          </cell>
          <cell r="D310" t="str">
            <v>미장센 헬로 젤리 팡팡 하용기</v>
          </cell>
          <cell r="F310">
            <v>80</v>
          </cell>
          <cell r="G310">
            <v>80</v>
          </cell>
          <cell r="H310">
            <v>80</v>
          </cell>
          <cell r="K310">
            <v>20</v>
          </cell>
          <cell r="L310">
            <v>90</v>
          </cell>
          <cell r="M310">
            <v>100</v>
          </cell>
          <cell r="O310">
            <v>25</v>
          </cell>
          <cell r="P310">
            <v>25</v>
          </cell>
          <cell r="Q310">
            <v>20</v>
          </cell>
        </row>
      </sheetData>
      <sheetData sheetId="8">
        <row r="1">
          <cell r="A1" t="str">
            <v>의뢰코드</v>
          </cell>
          <cell r="B1" t="str">
            <v>실험자</v>
          </cell>
          <cell r="C1" t="str">
            <v>실험일자</v>
          </cell>
          <cell r="D1" t="str">
            <v>제품명</v>
          </cell>
          <cell r="E1" t="str">
            <v>실린더_NH</v>
          </cell>
          <cell r="F1" t="str">
            <v>실린더_N1</v>
          </cell>
          <cell r="G1" t="str">
            <v>실린더_N2</v>
          </cell>
          <cell r="H1" t="str">
            <v>실린더_N3</v>
          </cell>
          <cell r="I1" t="str">
            <v>실린더_N4</v>
          </cell>
          <cell r="J1" t="str">
            <v>금형온도_고정</v>
          </cell>
          <cell r="K1" t="str">
            <v>금형온도_이동</v>
          </cell>
          <cell r="L1" t="str">
            <v>금형이동_특이사항</v>
          </cell>
          <cell r="M1" t="str">
            <v>H/R_번호1</v>
          </cell>
          <cell r="N1" t="str">
            <v>H/R_번호2</v>
          </cell>
          <cell r="O1" t="str">
            <v>H/R_번호3</v>
          </cell>
          <cell r="P1" t="str">
            <v>H/R_번호4</v>
          </cell>
          <cell r="Q1" t="str">
            <v>H/R_온도1</v>
          </cell>
          <cell r="R1" t="str">
            <v>H/R_온도2</v>
          </cell>
          <cell r="S1" t="str">
            <v>H/R_온도3</v>
          </cell>
          <cell r="T1" t="str">
            <v>H/R_온도4</v>
          </cell>
          <cell r="U1" t="str">
            <v>H/R_특이사항</v>
          </cell>
        </row>
        <row r="2">
          <cell r="A2" t="str">
            <v>SI1621_20260707</v>
          </cell>
          <cell r="B2" t="str">
            <v>유재호</v>
          </cell>
          <cell r="C2">
            <v>46210</v>
          </cell>
          <cell r="D2" t="str">
            <v>설화수 진설명작크림 60ML (26AD 숄더장식 사출</v>
          </cell>
          <cell r="E2">
            <v>210</v>
          </cell>
          <cell r="F2">
            <v>210</v>
          </cell>
          <cell r="G2">
            <v>210</v>
          </cell>
          <cell r="H2">
            <v>200</v>
          </cell>
          <cell r="I2">
            <v>200</v>
          </cell>
          <cell r="J2">
            <v>45</v>
          </cell>
          <cell r="K2">
            <v>23</v>
          </cell>
        </row>
        <row r="3">
          <cell r="A3" t="str">
            <v>SI1615_20260707</v>
          </cell>
          <cell r="B3" t="str">
            <v>유재호</v>
          </cell>
          <cell r="C3">
            <v>46210</v>
          </cell>
          <cell r="D3" t="str">
            <v>설화수 진설명작크림 60ML (26AD 캡장식-하단링</v>
          </cell>
          <cell r="E3">
            <v>230</v>
          </cell>
          <cell r="F3">
            <v>220</v>
          </cell>
          <cell r="G3">
            <v>210</v>
          </cell>
          <cell r="H3">
            <v>210</v>
          </cell>
          <cell r="I3">
            <v>200</v>
          </cell>
          <cell r="J3">
            <v>23</v>
          </cell>
          <cell r="K3">
            <v>23</v>
          </cell>
        </row>
        <row r="4">
          <cell r="A4" t="str">
            <v>SI1618_20260707</v>
          </cell>
          <cell r="B4" t="str">
            <v>한창구</v>
          </cell>
          <cell r="C4">
            <v>46210</v>
          </cell>
          <cell r="D4" t="str">
            <v>설화수 진설명작크림 60ML (26AD 내용기</v>
          </cell>
          <cell r="E4">
            <v>240</v>
          </cell>
          <cell r="F4">
            <v>200</v>
          </cell>
          <cell r="G4">
            <v>190</v>
          </cell>
          <cell r="H4">
            <v>190</v>
          </cell>
          <cell r="I4">
            <v>190</v>
          </cell>
          <cell r="J4">
            <v>23</v>
          </cell>
          <cell r="K4">
            <v>23</v>
          </cell>
        </row>
        <row r="5">
          <cell r="A5" t="str">
            <v>SI1674_20260703</v>
          </cell>
          <cell r="B5" t="str">
            <v/>
          </cell>
          <cell r="C5" t="str">
            <v/>
          </cell>
          <cell r="D5" t="str">
            <v/>
          </cell>
          <cell r="E5">
            <v>200</v>
          </cell>
          <cell r="F5">
            <v>190</v>
          </cell>
          <cell r="G5">
            <v>190</v>
          </cell>
          <cell r="H5">
            <v>190</v>
          </cell>
          <cell r="I5">
            <v>180</v>
          </cell>
          <cell r="J5">
            <v>23</v>
          </cell>
          <cell r="K5">
            <v>23</v>
          </cell>
          <cell r="M5" t="str">
            <v>No1~No8</v>
          </cell>
          <cell r="N5" t="str">
            <v>No9~No12</v>
          </cell>
          <cell r="Q5">
            <v>240</v>
          </cell>
          <cell r="R5">
            <v>220</v>
          </cell>
        </row>
        <row r="6">
          <cell r="A6" t="str">
            <v>SI1617_20260629</v>
          </cell>
          <cell r="B6" t="str">
            <v>유재호</v>
          </cell>
          <cell r="C6">
            <v>46202</v>
          </cell>
          <cell r="D6" t="str">
            <v>설화수 진설명작크림 60ML (26AD 중용기</v>
          </cell>
          <cell r="E6">
            <v>220</v>
          </cell>
          <cell r="F6">
            <v>210</v>
          </cell>
          <cell r="G6">
            <v>210</v>
          </cell>
          <cell r="H6">
            <v>210</v>
          </cell>
          <cell r="I6">
            <v>200</v>
          </cell>
          <cell r="J6">
            <v>45</v>
          </cell>
          <cell r="K6">
            <v>23</v>
          </cell>
        </row>
        <row r="7">
          <cell r="A7" t="str">
            <v>SI1618_20260629</v>
          </cell>
          <cell r="B7" t="str">
            <v>유재호</v>
          </cell>
          <cell r="C7">
            <v>46202</v>
          </cell>
          <cell r="D7" t="str">
            <v>설화수 진설명작크림 60ML (26AD 내용기</v>
          </cell>
          <cell r="E7">
            <v>220</v>
          </cell>
          <cell r="F7">
            <v>200</v>
          </cell>
          <cell r="G7">
            <v>190</v>
          </cell>
          <cell r="H7">
            <v>190</v>
          </cell>
          <cell r="I7">
            <v>185</v>
          </cell>
          <cell r="J7">
            <v>23</v>
          </cell>
          <cell r="K7">
            <v>23</v>
          </cell>
        </row>
        <row r="8">
          <cell r="A8" t="str">
            <v>SI1619_20260625</v>
          </cell>
          <cell r="B8" t="str">
            <v>한창구</v>
          </cell>
          <cell r="C8">
            <v>46198</v>
          </cell>
          <cell r="D8" t="str">
            <v>설화수 진설명작크림 60ML (26AD 외용기</v>
          </cell>
          <cell r="E8">
            <v>230</v>
          </cell>
          <cell r="F8">
            <v>225</v>
          </cell>
          <cell r="G8">
            <v>225</v>
          </cell>
          <cell r="H8">
            <v>225</v>
          </cell>
          <cell r="I8" t="str">
            <v>225 / 215</v>
          </cell>
          <cell r="J8" t="str">
            <v>23 / 45</v>
          </cell>
          <cell r="K8" t="str">
            <v>23 / 75 / 45</v>
          </cell>
        </row>
        <row r="9">
          <cell r="A9" t="str">
            <v>SI1623_20260619</v>
          </cell>
          <cell r="B9" t="str">
            <v>장세래</v>
          </cell>
          <cell r="C9">
            <v>46192</v>
          </cell>
          <cell r="D9" t="str">
            <v>설화수 진설명작크림 리필 60ML (26AD 단캡</v>
          </cell>
          <cell r="E9">
            <v>230</v>
          </cell>
          <cell r="F9">
            <v>220</v>
          </cell>
          <cell r="G9">
            <v>220</v>
          </cell>
          <cell r="H9">
            <v>220</v>
          </cell>
          <cell r="I9">
            <v>210</v>
          </cell>
          <cell r="J9">
            <v>23</v>
          </cell>
          <cell r="K9">
            <v>23</v>
          </cell>
          <cell r="L9" t="str">
            <v>NO3, 6 (코어부분 만) 40℃</v>
          </cell>
        </row>
        <row r="10">
          <cell r="A10" t="str">
            <v>SI1615_20260618</v>
          </cell>
          <cell r="B10" t="str">
            <v>장세래</v>
          </cell>
          <cell r="C10">
            <v>46191</v>
          </cell>
          <cell r="D10" t="str">
            <v>설화수 진설명작크림 60ML (26AD 캡장식-하단링</v>
          </cell>
          <cell r="E10">
            <v>210</v>
          </cell>
          <cell r="F10">
            <v>210</v>
          </cell>
          <cell r="G10">
            <v>210</v>
          </cell>
          <cell r="H10">
            <v>210</v>
          </cell>
          <cell r="I10">
            <v>200</v>
          </cell>
          <cell r="J10">
            <v>23</v>
          </cell>
          <cell r="K10">
            <v>23</v>
          </cell>
          <cell r="L10" t="str">
            <v>전체 반잠금</v>
          </cell>
        </row>
        <row r="11">
          <cell r="A11" t="str">
            <v>SI1616_20260612</v>
          </cell>
          <cell r="B11">
            <v>0</v>
          </cell>
          <cell r="C11">
            <v>46185</v>
          </cell>
          <cell r="D11" t="str">
            <v>설화수 진설명작크림 60ML (26AD 사출덮개</v>
          </cell>
          <cell r="E11">
            <v>250</v>
          </cell>
          <cell r="F11">
            <v>245</v>
          </cell>
          <cell r="G11">
            <v>240</v>
          </cell>
          <cell r="H11">
            <v>235</v>
          </cell>
          <cell r="I11">
            <v>220</v>
          </cell>
          <cell r="J11">
            <v>23</v>
          </cell>
          <cell r="K11">
            <v>23</v>
          </cell>
        </row>
        <row r="12">
          <cell r="A12" t="str">
            <v>SI1679_20260611</v>
          </cell>
          <cell r="B12" t="str">
            <v>장세래</v>
          </cell>
          <cell r="C12">
            <v>46184</v>
          </cell>
          <cell r="D12" t="str">
            <v>설화수 진설명작크림 60ML (27 AD)_암호 하케이스 사출</v>
          </cell>
          <cell r="E12">
            <v>220</v>
          </cell>
          <cell r="F12">
            <v>210</v>
          </cell>
          <cell r="G12">
            <v>210</v>
          </cell>
          <cell r="H12">
            <v>210</v>
          </cell>
          <cell r="I12">
            <v>200</v>
          </cell>
          <cell r="J12">
            <v>23</v>
          </cell>
          <cell r="K12">
            <v>23</v>
          </cell>
          <cell r="L12" t="str">
            <v>하측코어 45℃</v>
          </cell>
          <cell r="M12" t="str">
            <v>NO1</v>
          </cell>
          <cell r="N12" t="str">
            <v>NO2</v>
          </cell>
          <cell r="Q12">
            <v>190</v>
          </cell>
          <cell r="R12">
            <v>200</v>
          </cell>
        </row>
        <row r="13">
          <cell r="A13" t="str">
            <v>SI1678_20260611</v>
          </cell>
          <cell r="B13" t="str">
            <v>장세래</v>
          </cell>
          <cell r="C13">
            <v>46184</v>
          </cell>
          <cell r="D13" t="str">
            <v>설화수 진설명작크림 60ML (27 AD)_암호 상케이스 사출</v>
          </cell>
          <cell r="E13">
            <v>220</v>
          </cell>
          <cell r="F13">
            <v>210</v>
          </cell>
          <cell r="G13">
            <v>210</v>
          </cell>
          <cell r="H13">
            <v>210</v>
          </cell>
          <cell r="I13">
            <v>195</v>
          </cell>
          <cell r="J13">
            <v>23</v>
          </cell>
          <cell r="K13">
            <v>23</v>
          </cell>
          <cell r="L13" t="str">
            <v>상/하측코어 45℃</v>
          </cell>
          <cell r="M13">
            <v>1</v>
          </cell>
          <cell r="N13">
            <v>2</v>
          </cell>
          <cell r="Q13">
            <v>195</v>
          </cell>
          <cell r="R13">
            <v>200</v>
          </cell>
        </row>
        <row r="14">
          <cell r="A14" t="str">
            <v>SI1618_20260610</v>
          </cell>
          <cell r="B14" t="str">
            <v>장세래</v>
          </cell>
          <cell r="C14">
            <v>46183</v>
          </cell>
          <cell r="D14" t="str">
            <v>설화수 진설명작크림 60ML (26AD 내용기</v>
          </cell>
          <cell r="E14">
            <v>210</v>
          </cell>
          <cell r="F14">
            <v>200</v>
          </cell>
          <cell r="G14">
            <v>190</v>
          </cell>
          <cell r="H14">
            <v>185</v>
          </cell>
          <cell r="I14">
            <v>185</v>
          </cell>
          <cell r="J14">
            <v>23</v>
          </cell>
          <cell r="K14">
            <v>23</v>
          </cell>
        </row>
        <row r="15">
          <cell r="A15" t="str">
            <v>SI1619_20260610</v>
          </cell>
          <cell r="B15" t="str">
            <v>장세래</v>
          </cell>
          <cell r="C15">
            <v>46183</v>
          </cell>
          <cell r="D15" t="str">
            <v>설화수 진설명작크림 60ML (26AD 외용기</v>
          </cell>
          <cell r="E15">
            <v>230</v>
          </cell>
          <cell r="F15">
            <v>225</v>
          </cell>
          <cell r="G15">
            <v>225</v>
          </cell>
          <cell r="H15">
            <v>225</v>
          </cell>
          <cell r="I15" t="str">
            <v>225/220</v>
          </cell>
          <cell r="J15" t="str">
            <v>23℃/45℃</v>
          </cell>
          <cell r="K15" t="str">
            <v>23℃/45℃</v>
          </cell>
          <cell r="L15" t="str">
            <v>슬라이드 70℃</v>
          </cell>
        </row>
        <row r="16">
          <cell r="A16" t="str">
            <v>SI1618_20260610</v>
          </cell>
          <cell r="B16" t="str">
            <v>장세래</v>
          </cell>
          <cell r="C16">
            <v>46183</v>
          </cell>
          <cell r="D16" t="str">
            <v>설화수 진설명작크림 60ML (26AD 내용기</v>
          </cell>
          <cell r="E16">
            <v>210</v>
          </cell>
          <cell r="F16">
            <v>200</v>
          </cell>
          <cell r="G16">
            <v>190</v>
          </cell>
          <cell r="H16">
            <v>185</v>
          </cell>
          <cell r="I16">
            <v>185</v>
          </cell>
          <cell r="J16">
            <v>23</v>
          </cell>
          <cell r="K16">
            <v>23</v>
          </cell>
        </row>
        <row r="17">
          <cell r="A17" t="str">
            <v>SI1619_20260608</v>
          </cell>
          <cell r="B17" t="str">
            <v>한창구</v>
          </cell>
          <cell r="C17">
            <v>46181</v>
          </cell>
          <cell r="D17" t="str">
            <v>설화수 진설명작크림 60ML (26AD 외용기</v>
          </cell>
          <cell r="E17">
            <v>230</v>
          </cell>
          <cell r="F17">
            <v>230</v>
          </cell>
          <cell r="G17">
            <v>230</v>
          </cell>
          <cell r="H17">
            <v>225</v>
          </cell>
          <cell r="I17">
            <v>220</v>
          </cell>
          <cell r="J17">
            <v>23</v>
          </cell>
          <cell r="K17">
            <v>23</v>
          </cell>
          <cell r="L17" t="str">
            <v>3번판 상축 45 슬라이드 45 6번판 45</v>
          </cell>
        </row>
        <row r="18">
          <cell r="A18" t="str">
            <v>SI1620_20260609</v>
          </cell>
          <cell r="B18" t="str">
            <v>유재호</v>
          </cell>
          <cell r="C18">
            <v>46182</v>
          </cell>
          <cell r="D18" t="str">
            <v>설화수 진설명작크림 60ML (26AD 용기받침 사출</v>
          </cell>
          <cell r="E18">
            <v>220</v>
          </cell>
          <cell r="F18">
            <v>210</v>
          </cell>
          <cell r="G18">
            <v>210</v>
          </cell>
          <cell r="H18">
            <v>210</v>
          </cell>
          <cell r="I18">
            <v>195</v>
          </cell>
          <cell r="J18" t="str">
            <v>온수45</v>
          </cell>
          <cell r="K18">
            <v>23</v>
          </cell>
        </row>
        <row r="19">
          <cell r="A19" t="str">
            <v>SI1621_20260609</v>
          </cell>
          <cell r="B19" t="str">
            <v>유재호</v>
          </cell>
          <cell r="C19">
            <v>46182</v>
          </cell>
          <cell r="D19" t="str">
            <v>설화수 진설명작크림 60ML (26AD 숄더장식 사출</v>
          </cell>
          <cell r="E19">
            <v>220</v>
          </cell>
          <cell r="F19">
            <v>210</v>
          </cell>
          <cell r="G19">
            <v>210</v>
          </cell>
          <cell r="H19">
            <v>200</v>
          </cell>
          <cell r="I19">
            <v>195</v>
          </cell>
          <cell r="J19" t="str">
            <v>23℃ / 45℃</v>
          </cell>
          <cell r="K19" t="str">
            <v>23℃</v>
          </cell>
        </row>
        <row r="20">
          <cell r="A20" t="str">
            <v>SI1617_20260609</v>
          </cell>
          <cell r="B20" t="str">
            <v>유재호</v>
          </cell>
          <cell r="C20">
            <v>46182</v>
          </cell>
          <cell r="D20" t="str">
            <v>설화수 진설명작크림 60ML (26AD 중용기</v>
          </cell>
          <cell r="E20">
            <v>220</v>
          </cell>
          <cell r="F20">
            <v>210</v>
          </cell>
          <cell r="G20">
            <v>210</v>
          </cell>
          <cell r="H20">
            <v>200</v>
          </cell>
          <cell r="I20">
            <v>195</v>
          </cell>
          <cell r="J20">
            <v>48</v>
          </cell>
          <cell r="K20">
            <v>23</v>
          </cell>
        </row>
        <row r="21">
          <cell r="A21" t="str">
            <v>SI1674_20260414</v>
          </cell>
          <cell r="B21" t="str">
            <v>장세래</v>
          </cell>
          <cell r="C21">
            <v>46126</v>
          </cell>
          <cell r="D21" t="str">
            <v>미니슬림쿠션 접시 사출</v>
          </cell>
          <cell r="E21">
            <v>210</v>
          </cell>
          <cell r="F21">
            <v>190</v>
          </cell>
          <cell r="G21">
            <v>190</v>
          </cell>
          <cell r="H21">
            <v>190</v>
          </cell>
          <cell r="I21">
            <v>180</v>
          </cell>
          <cell r="J21">
            <v>23</v>
          </cell>
          <cell r="K21">
            <v>23</v>
          </cell>
        </row>
        <row r="22">
          <cell r="A22" t="str">
            <v>SI1675_20260414</v>
          </cell>
          <cell r="B22" t="str">
            <v>장세래</v>
          </cell>
          <cell r="C22">
            <v>46126</v>
          </cell>
          <cell r="D22" t="str">
            <v>미니슬림쿠션 중용기 덮개 사출</v>
          </cell>
          <cell r="E22">
            <v>210</v>
          </cell>
          <cell r="F22">
            <v>190</v>
          </cell>
          <cell r="G22">
            <v>190</v>
          </cell>
          <cell r="H22">
            <v>190</v>
          </cell>
          <cell r="I22">
            <v>180</v>
          </cell>
          <cell r="J22">
            <v>23</v>
          </cell>
          <cell r="K22">
            <v>23</v>
          </cell>
        </row>
        <row r="23">
          <cell r="A23" t="str">
            <v>SI1676_20260414</v>
          </cell>
          <cell r="B23" t="str">
            <v>장세래</v>
          </cell>
          <cell r="C23">
            <v>46126</v>
          </cell>
          <cell r="D23" t="str">
            <v>미니슬림쿠션 중용기 사출</v>
          </cell>
          <cell r="E23">
            <v>210</v>
          </cell>
          <cell r="F23">
            <v>190</v>
          </cell>
          <cell r="G23">
            <v>190</v>
          </cell>
          <cell r="H23">
            <v>190</v>
          </cell>
          <cell r="I23">
            <v>180</v>
          </cell>
          <cell r="J23">
            <v>23</v>
          </cell>
          <cell r="K23">
            <v>23</v>
          </cell>
        </row>
        <row r="24">
          <cell r="A24" t="str">
            <v>SI1673_20260413</v>
          </cell>
          <cell r="B24" t="str">
            <v>장세래</v>
          </cell>
          <cell r="C24">
            <v>46125</v>
          </cell>
          <cell r="D24" t="str">
            <v>미니슬림쿠션 하케이스 사출</v>
          </cell>
          <cell r="E24">
            <v>220</v>
          </cell>
          <cell r="F24">
            <v>210</v>
          </cell>
          <cell r="G24">
            <v>210</v>
          </cell>
          <cell r="H24">
            <v>210</v>
          </cell>
          <cell r="I24">
            <v>210</v>
          </cell>
          <cell r="J24">
            <v>23</v>
          </cell>
          <cell r="K24">
            <v>23</v>
          </cell>
          <cell r="L24" t="str">
            <v>No3 50℃</v>
          </cell>
        </row>
        <row r="25">
          <cell r="A25" t="str">
            <v>SI1678_20260413</v>
          </cell>
          <cell r="B25" t="str">
            <v>장세래</v>
          </cell>
          <cell r="C25">
            <v>46125</v>
          </cell>
          <cell r="D25" t="str">
            <v>설화수 진설명작크림 60ML (27 AD)_암호 상케이스 사출</v>
          </cell>
          <cell r="E25">
            <v>220</v>
          </cell>
          <cell r="F25">
            <v>210</v>
          </cell>
          <cell r="G25">
            <v>210</v>
          </cell>
          <cell r="H25">
            <v>210</v>
          </cell>
          <cell r="I25">
            <v>200</v>
          </cell>
          <cell r="J25">
            <v>23</v>
          </cell>
          <cell r="K25">
            <v>23</v>
          </cell>
          <cell r="L25" t="str">
            <v>상,하측 코어 45℃</v>
          </cell>
          <cell r="M25" t="str">
            <v>No1</v>
          </cell>
          <cell r="N25" t="str">
            <v>No2</v>
          </cell>
          <cell r="Q25">
            <v>190</v>
          </cell>
          <cell r="R25">
            <v>210</v>
          </cell>
        </row>
        <row r="26">
          <cell r="A26" t="str">
            <v>SI1679_20260413</v>
          </cell>
          <cell r="B26" t="str">
            <v>장세래</v>
          </cell>
          <cell r="C26">
            <v>46125</v>
          </cell>
          <cell r="D26" t="str">
            <v>설화수 진설명작크림 60ML (27 AD)_암호 하케이스 사출</v>
          </cell>
          <cell r="E26">
            <v>220</v>
          </cell>
          <cell r="F26">
            <v>210</v>
          </cell>
          <cell r="G26">
            <v>210</v>
          </cell>
          <cell r="H26">
            <v>210</v>
          </cell>
          <cell r="I26">
            <v>200</v>
          </cell>
          <cell r="J26">
            <v>23</v>
          </cell>
          <cell r="K26">
            <v>23</v>
          </cell>
          <cell r="L26" t="str">
            <v>하측코어 45℃</v>
          </cell>
          <cell r="M26" t="str">
            <v>No1</v>
          </cell>
          <cell r="N26" t="str">
            <v>No2</v>
          </cell>
          <cell r="Q26">
            <v>185</v>
          </cell>
          <cell r="R26">
            <v>190</v>
          </cell>
        </row>
        <row r="27">
          <cell r="A27" t="str">
            <v>SI1676_20260403</v>
          </cell>
          <cell r="B27" t="str">
            <v>장세래</v>
          </cell>
          <cell r="C27">
            <v>46115</v>
          </cell>
          <cell r="D27" t="str">
            <v>미니슬림쿠션 중용기 사출</v>
          </cell>
          <cell r="E27">
            <v>210</v>
          </cell>
          <cell r="F27">
            <v>190</v>
          </cell>
          <cell r="G27">
            <v>190</v>
          </cell>
          <cell r="H27">
            <v>190</v>
          </cell>
          <cell r="I27">
            <v>190</v>
          </cell>
          <cell r="J27">
            <v>23</v>
          </cell>
          <cell r="K27">
            <v>23</v>
          </cell>
        </row>
        <row r="28">
          <cell r="A28" t="str">
            <v>SI1673_20260401</v>
          </cell>
          <cell r="B28" t="str">
            <v>장세래</v>
          </cell>
          <cell r="C28">
            <v>46113</v>
          </cell>
          <cell r="D28" t="str">
            <v>미니슬림쿠션 하케이스 사출</v>
          </cell>
          <cell r="E28">
            <v>230</v>
          </cell>
          <cell r="F28">
            <v>215</v>
          </cell>
          <cell r="G28">
            <v>215</v>
          </cell>
          <cell r="H28">
            <v>215</v>
          </cell>
          <cell r="I28">
            <v>210</v>
          </cell>
          <cell r="J28">
            <v>23</v>
          </cell>
          <cell r="K28">
            <v>23</v>
          </cell>
          <cell r="L28" t="str">
            <v>NO3 - 50℃</v>
          </cell>
        </row>
        <row r="29">
          <cell r="A29" t="str">
            <v>SI1673_20260330</v>
          </cell>
          <cell r="B29" t="str">
            <v>한창구</v>
          </cell>
          <cell r="C29">
            <v>46111</v>
          </cell>
          <cell r="D29" t="str">
            <v>미니슬림쿠션 하케이스 사출</v>
          </cell>
          <cell r="E29">
            <v>235</v>
          </cell>
          <cell r="F29">
            <v>230</v>
          </cell>
          <cell r="G29">
            <v>215</v>
          </cell>
          <cell r="H29">
            <v>215</v>
          </cell>
          <cell r="I29" t="str">
            <v>215/210</v>
          </cell>
          <cell r="J29" t="str">
            <v>23℃/온수50℃</v>
          </cell>
          <cell r="K29" t="str">
            <v>23℃</v>
          </cell>
        </row>
        <row r="30">
          <cell r="A30" t="str">
            <v>SI1672_20260330</v>
          </cell>
          <cell r="B30" t="str">
            <v>한창구</v>
          </cell>
          <cell r="C30">
            <v>46111</v>
          </cell>
          <cell r="D30" t="str">
            <v>미니슬림쿠션 상케이스 사출</v>
          </cell>
          <cell r="E30">
            <v>235</v>
          </cell>
          <cell r="F30">
            <v>230</v>
          </cell>
          <cell r="G30">
            <v>215</v>
          </cell>
          <cell r="H30">
            <v>215</v>
          </cell>
          <cell r="I30" t="str">
            <v>215/210</v>
          </cell>
          <cell r="J30" t="str">
            <v>일반 온수</v>
          </cell>
          <cell r="K30" t="str">
            <v>23℃</v>
          </cell>
        </row>
        <row r="31">
          <cell r="A31" t="str">
            <v>SI1668_20260327</v>
          </cell>
          <cell r="B31" t="str">
            <v>장세래</v>
          </cell>
          <cell r="C31">
            <v>46108</v>
          </cell>
          <cell r="D31" t="str">
            <v>마몽드 어메이징딥 민트클렌징밤 90ml(26AD 원터치단캡 사출</v>
          </cell>
          <cell r="E31">
            <v>200</v>
          </cell>
          <cell r="F31">
            <v>185</v>
          </cell>
          <cell r="G31">
            <v>185</v>
          </cell>
          <cell r="H31">
            <v>185</v>
          </cell>
          <cell r="I31">
            <v>180</v>
          </cell>
          <cell r="J31">
            <v>23</v>
          </cell>
          <cell r="K31">
            <v>23</v>
          </cell>
        </row>
        <row r="32">
          <cell r="A32" t="str">
            <v>SI1621_20260327</v>
          </cell>
          <cell r="B32" t="str">
            <v>한창구</v>
          </cell>
          <cell r="C32">
            <v>46108</v>
          </cell>
          <cell r="D32" t="str">
            <v>설화수 진설명작크림 60ML (26AD 숄더장식 사출</v>
          </cell>
          <cell r="E32">
            <v>220</v>
          </cell>
          <cell r="F32">
            <v>225</v>
          </cell>
          <cell r="G32">
            <v>220</v>
          </cell>
          <cell r="H32">
            <v>215</v>
          </cell>
          <cell r="I32">
            <v>200</v>
          </cell>
          <cell r="J32" t="str">
            <v>온수 40℃
/일반 23℃</v>
          </cell>
          <cell r="K32" t="str">
            <v>일반 23℃</v>
          </cell>
        </row>
        <row r="33">
          <cell r="A33" t="str">
            <v>SI1617_20260326</v>
          </cell>
          <cell r="B33" t="str">
            <v>한창구</v>
          </cell>
          <cell r="C33">
            <v>46107</v>
          </cell>
          <cell r="D33" t="str">
            <v>설화수 진설명작크림 60ML (26AD 중용기</v>
          </cell>
          <cell r="E33">
            <v>220</v>
          </cell>
          <cell r="F33">
            <v>225</v>
          </cell>
          <cell r="G33">
            <v>220</v>
          </cell>
          <cell r="H33">
            <v>215</v>
          </cell>
          <cell r="I33">
            <v>200</v>
          </cell>
          <cell r="J33" t="str">
            <v>온수 40℃/일반 23℃</v>
          </cell>
          <cell r="K33" t="str">
            <v>일반 23℃</v>
          </cell>
        </row>
        <row r="34">
          <cell r="A34" t="str">
            <v>SI1675_20260326</v>
          </cell>
          <cell r="B34" t="str">
            <v>장세래</v>
          </cell>
          <cell r="C34">
            <v>46107</v>
          </cell>
          <cell r="D34" t="str">
            <v>미니슬림쿠션 중용기 덮개 사출</v>
          </cell>
          <cell r="E34">
            <v>210</v>
          </cell>
          <cell r="F34">
            <v>190</v>
          </cell>
          <cell r="G34">
            <v>190</v>
          </cell>
          <cell r="H34">
            <v>190</v>
          </cell>
          <cell r="I34">
            <v>180</v>
          </cell>
          <cell r="J34">
            <v>23</v>
          </cell>
          <cell r="K34">
            <v>23</v>
          </cell>
        </row>
        <row r="35">
          <cell r="A35" t="str">
            <v>SI1674_20260326</v>
          </cell>
          <cell r="B35" t="str">
            <v>장세래</v>
          </cell>
          <cell r="C35">
            <v>46107</v>
          </cell>
          <cell r="D35" t="str">
            <v>미니슬림쿠션 접시 사출</v>
          </cell>
          <cell r="E35">
            <v>210</v>
          </cell>
          <cell r="F35">
            <v>190</v>
          </cell>
          <cell r="G35">
            <v>190</v>
          </cell>
          <cell r="H35">
            <v>190</v>
          </cell>
          <cell r="I35">
            <v>180</v>
          </cell>
          <cell r="J35">
            <v>23</v>
          </cell>
          <cell r="K35">
            <v>23</v>
          </cell>
        </row>
        <row r="36">
          <cell r="A36" t="str">
            <v>SI1620_20260326</v>
          </cell>
          <cell r="B36" t="str">
            <v>한창구</v>
          </cell>
          <cell r="C36">
            <v>46107</v>
          </cell>
          <cell r="D36" t="str">
            <v>설화수 진설명작크림 60ML (26AD 용기받침 사출</v>
          </cell>
          <cell r="E36">
            <v>220</v>
          </cell>
          <cell r="F36">
            <v>225</v>
          </cell>
          <cell r="G36">
            <v>220</v>
          </cell>
          <cell r="H36">
            <v>215</v>
          </cell>
          <cell r="I36">
            <v>200</v>
          </cell>
          <cell r="J36" t="str">
            <v>온수(40℃)일반</v>
          </cell>
          <cell r="K36" t="str">
            <v>일반</v>
          </cell>
        </row>
        <row r="37">
          <cell r="A37" t="str">
            <v>SI1679_20260325</v>
          </cell>
          <cell r="B37" t="str">
            <v>장세래</v>
          </cell>
          <cell r="C37">
            <v>46106</v>
          </cell>
          <cell r="D37" t="str">
            <v>설화수 진설명작크림 60ML (27 AD)_암호 하케이스 사출</v>
          </cell>
          <cell r="E37">
            <v>220</v>
          </cell>
          <cell r="F37">
            <v>210</v>
          </cell>
          <cell r="G37">
            <v>210</v>
          </cell>
          <cell r="H37">
            <v>210</v>
          </cell>
          <cell r="I37">
            <v>200</v>
          </cell>
          <cell r="J37">
            <v>23</v>
          </cell>
          <cell r="K37">
            <v>23</v>
          </cell>
          <cell r="L37" t="str">
            <v>하측코어 40℃</v>
          </cell>
          <cell r="M37" t="str">
            <v>No 1</v>
          </cell>
          <cell r="N37" t="str">
            <v>No 2</v>
          </cell>
          <cell r="Q37">
            <v>200</v>
          </cell>
          <cell r="R37">
            <v>200</v>
          </cell>
        </row>
        <row r="38">
          <cell r="A38" t="str">
            <v>SI1672_20260320</v>
          </cell>
          <cell r="B38" t="str">
            <v>장세래</v>
          </cell>
          <cell r="C38">
            <v>46101</v>
          </cell>
          <cell r="D38" t="str">
            <v>미니슬림쿠션 상케이스 사출</v>
          </cell>
          <cell r="E38">
            <v>220</v>
          </cell>
          <cell r="F38">
            <v>215</v>
          </cell>
          <cell r="G38">
            <v>215</v>
          </cell>
          <cell r="H38">
            <v>215</v>
          </cell>
          <cell r="I38">
            <v>205</v>
          </cell>
          <cell r="J38">
            <v>23</v>
          </cell>
          <cell r="K38">
            <v>23</v>
          </cell>
          <cell r="L38" t="str">
            <v>NO3 - 50℃</v>
          </cell>
        </row>
        <row r="39">
          <cell r="A39" t="str">
            <v>SI1673_20260320</v>
          </cell>
          <cell r="B39" t="str">
            <v>장세래</v>
          </cell>
          <cell r="C39">
            <v>46101</v>
          </cell>
          <cell r="D39" t="str">
            <v>미니슬림쿠션 하케이스 사출</v>
          </cell>
          <cell r="E39">
            <v>220</v>
          </cell>
          <cell r="F39">
            <v>215</v>
          </cell>
          <cell r="G39">
            <v>215</v>
          </cell>
          <cell r="H39">
            <v>215</v>
          </cell>
          <cell r="I39">
            <v>210</v>
          </cell>
          <cell r="J39">
            <v>23</v>
          </cell>
          <cell r="K39">
            <v>23</v>
          </cell>
          <cell r="L39" t="str">
            <v>NO3 - 50℃</v>
          </cell>
        </row>
        <row r="40">
          <cell r="A40" t="str">
            <v>SI1674_20260318</v>
          </cell>
          <cell r="B40" t="str">
            <v>장세래</v>
          </cell>
          <cell r="C40">
            <v>46099</v>
          </cell>
          <cell r="D40" t="str">
            <v>미니슬림쿠션 접시 사출</v>
          </cell>
          <cell r="E40">
            <v>210</v>
          </cell>
          <cell r="F40">
            <v>190</v>
          </cell>
          <cell r="G40">
            <v>190</v>
          </cell>
          <cell r="H40">
            <v>190</v>
          </cell>
          <cell r="I40">
            <v>185</v>
          </cell>
          <cell r="J40">
            <v>23</v>
          </cell>
          <cell r="K40">
            <v>23</v>
          </cell>
        </row>
        <row r="41">
          <cell r="A41" t="str">
            <v>SI1660_20260317</v>
          </cell>
          <cell r="B41" t="str">
            <v>유재호</v>
          </cell>
          <cell r="C41">
            <v>46098</v>
          </cell>
          <cell r="D41" t="str">
            <v>오딧세이 블랙 로션 130ML (26 EC)(착인) 내캡 사출</v>
          </cell>
          <cell r="E41">
            <v>250</v>
          </cell>
          <cell r="F41">
            <v>230</v>
          </cell>
          <cell r="G41">
            <v>230</v>
          </cell>
          <cell r="H41">
            <v>230</v>
          </cell>
          <cell r="I41">
            <v>220</v>
          </cell>
          <cell r="J41">
            <v>23</v>
          </cell>
          <cell r="K41">
            <v>23</v>
          </cell>
        </row>
        <row r="42">
          <cell r="A42" t="str">
            <v>SI1668_20260317</v>
          </cell>
          <cell r="B42" t="str">
            <v>장세래</v>
          </cell>
          <cell r="C42">
            <v>46098</v>
          </cell>
          <cell r="D42" t="str">
            <v>마몽드 어메이징딥 민트클렌징밤 90ml(26AD 원터치단캡 사출</v>
          </cell>
          <cell r="E42">
            <v>200</v>
          </cell>
          <cell r="F42">
            <v>185</v>
          </cell>
          <cell r="G42">
            <v>185</v>
          </cell>
          <cell r="H42">
            <v>185</v>
          </cell>
          <cell r="I42">
            <v>180</v>
          </cell>
          <cell r="J42">
            <v>23</v>
          </cell>
          <cell r="K42">
            <v>23</v>
          </cell>
        </row>
        <row r="43">
          <cell r="A43" t="str">
            <v>SI1671_20260311</v>
          </cell>
          <cell r="B43" t="str">
            <v>한창구</v>
          </cell>
          <cell r="C43">
            <v>46092</v>
          </cell>
          <cell r="D43" t="str">
            <v>마몽드 어메이징딥 민트클렌징밤 90ml(26AD 단용기 사출</v>
          </cell>
          <cell r="E43">
            <v>210</v>
          </cell>
          <cell r="F43">
            <v>190</v>
          </cell>
          <cell r="G43">
            <v>185</v>
          </cell>
          <cell r="H43">
            <v>180</v>
          </cell>
          <cell r="J43" t="str">
            <v>35/23</v>
          </cell>
          <cell r="K43">
            <v>23</v>
          </cell>
          <cell r="M43" t="str">
            <v>1~10</v>
          </cell>
          <cell r="Q43">
            <v>200</v>
          </cell>
        </row>
        <row r="44">
          <cell r="A44" t="str">
            <v>SI1668_20260311</v>
          </cell>
          <cell r="B44" t="str">
            <v>장세래</v>
          </cell>
          <cell r="C44">
            <v>46092</v>
          </cell>
          <cell r="D44" t="str">
            <v>마몽드 어메이징딥 민트클렌징밤 90ml(26AD 원터치단캡 사출</v>
          </cell>
          <cell r="E44">
            <v>210</v>
          </cell>
          <cell r="F44">
            <v>180</v>
          </cell>
          <cell r="G44">
            <v>180</v>
          </cell>
          <cell r="H44">
            <v>180</v>
          </cell>
          <cell r="I44">
            <v>180</v>
          </cell>
          <cell r="J44">
            <v>23</v>
          </cell>
          <cell r="K44">
            <v>23</v>
          </cell>
        </row>
        <row r="45">
          <cell r="A45" t="str">
            <v>SI1632_20260310</v>
          </cell>
          <cell r="B45" t="str">
            <v>유재호</v>
          </cell>
          <cell r="C45">
            <v>46091</v>
          </cell>
          <cell r="D45" t="str">
            <v>설화수 진설명작크림 (견) 5ML (AD 단용기</v>
          </cell>
          <cell r="E45">
            <v>210</v>
          </cell>
          <cell r="F45">
            <v>190</v>
          </cell>
          <cell r="G45">
            <v>190</v>
          </cell>
          <cell r="H45">
            <v>190</v>
          </cell>
          <cell r="I45">
            <v>180</v>
          </cell>
          <cell r="J45">
            <v>23</v>
          </cell>
          <cell r="K45">
            <v>23</v>
          </cell>
        </row>
        <row r="46">
          <cell r="A46" t="str">
            <v>SI1671_20260306</v>
          </cell>
          <cell r="B46" t="str">
            <v>장세래</v>
          </cell>
          <cell r="C46">
            <v>46087</v>
          </cell>
          <cell r="D46" t="str">
            <v>마몽드 어메이징딥 민트클렌징밤 90ml(26AD 단용기 사출</v>
          </cell>
          <cell r="E46">
            <v>205</v>
          </cell>
          <cell r="F46">
            <v>195</v>
          </cell>
          <cell r="G46">
            <v>195</v>
          </cell>
          <cell r="H46">
            <v>195</v>
          </cell>
          <cell r="I46">
            <v>185</v>
          </cell>
          <cell r="J46">
            <v>23</v>
          </cell>
          <cell r="K46">
            <v>23</v>
          </cell>
          <cell r="L46" t="str">
            <v>고정측 바닥면 온수 45℃</v>
          </cell>
          <cell r="M46" t="str">
            <v>No1 ~ No4</v>
          </cell>
          <cell r="N46" t="str">
            <v>No5 ~ No10</v>
          </cell>
          <cell r="Q46">
            <v>190</v>
          </cell>
          <cell r="R46">
            <v>200</v>
          </cell>
        </row>
        <row r="47">
          <cell r="A47" t="str">
            <v>SI1668_20260306</v>
          </cell>
          <cell r="B47" t="str">
            <v>장세래</v>
          </cell>
          <cell r="C47">
            <v>46087</v>
          </cell>
          <cell r="D47" t="str">
            <v>마몽드 어메이징딥 민트클렌징밤 90ml(26AD 원터치단캡 사출</v>
          </cell>
          <cell r="E47">
            <v>200</v>
          </cell>
          <cell r="F47">
            <v>185</v>
          </cell>
          <cell r="G47">
            <v>185</v>
          </cell>
          <cell r="H47">
            <v>185</v>
          </cell>
          <cell r="I47">
            <v>180</v>
          </cell>
          <cell r="J47">
            <v>23</v>
          </cell>
          <cell r="K47">
            <v>23</v>
          </cell>
        </row>
        <row r="48">
          <cell r="A48" t="str">
            <v>SI1674_20260305</v>
          </cell>
          <cell r="B48" t="str">
            <v>장세래</v>
          </cell>
          <cell r="C48">
            <v>46086</v>
          </cell>
          <cell r="D48" t="str">
            <v>미니슬림쿠션 접시 사출</v>
          </cell>
          <cell r="E48">
            <v>210</v>
          </cell>
          <cell r="F48">
            <v>190</v>
          </cell>
          <cell r="G48">
            <v>190</v>
          </cell>
          <cell r="H48">
            <v>190</v>
          </cell>
          <cell r="I48">
            <v>190</v>
          </cell>
          <cell r="J48">
            <v>23</v>
          </cell>
          <cell r="K48">
            <v>23</v>
          </cell>
        </row>
        <row r="49">
          <cell r="A49" t="str">
            <v>SI1675_20260305</v>
          </cell>
          <cell r="B49" t="str">
            <v>장세래</v>
          </cell>
          <cell r="C49">
            <v>46086</v>
          </cell>
          <cell r="D49" t="str">
            <v>미니슬림쿠션 중용기 덮개 사출</v>
          </cell>
          <cell r="E49">
            <v>210</v>
          </cell>
          <cell r="F49">
            <v>190</v>
          </cell>
          <cell r="G49">
            <v>190</v>
          </cell>
          <cell r="H49">
            <v>190</v>
          </cell>
          <cell r="I49">
            <v>190</v>
          </cell>
          <cell r="J49">
            <v>23</v>
          </cell>
          <cell r="K49">
            <v>23</v>
          </cell>
        </row>
        <row r="50">
          <cell r="A50" t="str">
            <v>SI1676_20260305</v>
          </cell>
          <cell r="B50" t="str">
            <v>장세래</v>
          </cell>
          <cell r="C50">
            <v>46086</v>
          </cell>
          <cell r="D50" t="str">
            <v>미니슬림쿠션 중용기 사출</v>
          </cell>
          <cell r="E50">
            <v>210</v>
          </cell>
          <cell r="F50">
            <v>190</v>
          </cell>
          <cell r="G50">
            <v>190</v>
          </cell>
          <cell r="H50">
            <v>190</v>
          </cell>
          <cell r="I50">
            <v>190</v>
          </cell>
          <cell r="J50">
            <v>23</v>
          </cell>
          <cell r="K50">
            <v>23</v>
          </cell>
        </row>
        <row r="51">
          <cell r="A51" t="str">
            <v>SI1679_20260304</v>
          </cell>
          <cell r="B51" t="str">
            <v>장세래</v>
          </cell>
          <cell r="C51">
            <v>46085</v>
          </cell>
          <cell r="D51" t="str">
            <v>설화수 진설명작크림 60ML (27 AD)_암호 하케이스 사출</v>
          </cell>
          <cell r="E51">
            <v>230</v>
          </cell>
          <cell r="F51">
            <v>215</v>
          </cell>
          <cell r="G51">
            <v>215</v>
          </cell>
          <cell r="H51">
            <v>215</v>
          </cell>
          <cell r="I51">
            <v>210</v>
          </cell>
          <cell r="J51">
            <v>23</v>
          </cell>
          <cell r="K51">
            <v>23</v>
          </cell>
          <cell r="L51" t="str">
            <v>하측코어 45℃</v>
          </cell>
          <cell r="M51" t="str">
            <v>No1</v>
          </cell>
          <cell r="N51" t="str">
            <v>No2</v>
          </cell>
          <cell r="Q51">
            <v>190</v>
          </cell>
          <cell r="R51">
            <v>200</v>
          </cell>
        </row>
        <row r="52">
          <cell r="A52" t="str">
            <v>SI1673_20260304</v>
          </cell>
          <cell r="B52" t="str">
            <v>장세래</v>
          </cell>
          <cell r="C52">
            <v>46085</v>
          </cell>
          <cell r="D52" t="str">
            <v>미니슬림쿠션 하케이스 사출</v>
          </cell>
          <cell r="E52">
            <v>230</v>
          </cell>
          <cell r="F52">
            <v>215</v>
          </cell>
          <cell r="G52">
            <v>215</v>
          </cell>
          <cell r="H52">
            <v>215</v>
          </cell>
          <cell r="I52">
            <v>210</v>
          </cell>
          <cell r="J52">
            <v>23</v>
          </cell>
          <cell r="K52">
            <v>23</v>
          </cell>
          <cell r="L52" t="str">
            <v>No3 - 50℃</v>
          </cell>
        </row>
        <row r="53">
          <cell r="A53" t="str">
            <v>SI1672_20260304</v>
          </cell>
          <cell r="B53" t="str">
            <v>장세래</v>
          </cell>
          <cell r="C53">
            <v>46085</v>
          </cell>
          <cell r="D53" t="str">
            <v>미니슬림쿠션 상케이스 사출</v>
          </cell>
          <cell r="E53">
            <v>230</v>
          </cell>
          <cell r="F53">
            <v>215</v>
          </cell>
          <cell r="G53">
            <v>215</v>
          </cell>
          <cell r="H53">
            <v>215</v>
          </cell>
          <cell r="I53">
            <v>210</v>
          </cell>
          <cell r="J53">
            <v>23</v>
          </cell>
          <cell r="K53">
            <v>23</v>
          </cell>
          <cell r="L53" t="str">
            <v>No3 - 50℃</v>
          </cell>
        </row>
        <row r="54">
          <cell r="A54" t="str">
            <v>SI1678_20260225</v>
          </cell>
          <cell r="B54" t="str">
            <v>장세래</v>
          </cell>
          <cell r="C54">
            <v>46078</v>
          </cell>
          <cell r="D54" t="str">
            <v>설화수 진설명작크림 60ML (27 AD)_암호 상케이스 사출</v>
          </cell>
          <cell r="E54">
            <v>220</v>
          </cell>
          <cell r="F54">
            <v>210</v>
          </cell>
          <cell r="G54">
            <v>210</v>
          </cell>
          <cell r="H54">
            <v>210</v>
          </cell>
          <cell r="I54">
            <v>210</v>
          </cell>
          <cell r="J54">
            <v>23</v>
          </cell>
          <cell r="K54">
            <v>23</v>
          </cell>
          <cell r="L54" t="str">
            <v>상∙하 측 코어 부분만 온수 45℃</v>
          </cell>
          <cell r="M54" t="str">
            <v>No.1</v>
          </cell>
          <cell r="N54" t="str">
            <v>No.2</v>
          </cell>
          <cell r="Q54">
            <v>200</v>
          </cell>
          <cell r="R54">
            <v>210</v>
          </cell>
        </row>
        <row r="55">
          <cell r="A55" t="str">
            <v>SI1616_20260225</v>
          </cell>
          <cell r="B55">
            <v>0</v>
          </cell>
          <cell r="C55">
            <v>46078</v>
          </cell>
          <cell r="D55" t="str">
            <v>설화수 진설명작크림 60ML (26AD 사출덮개</v>
          </cell>
          <cell r="E55">
            <v>250</v>
          </cell>
          <cell r="F55">
            <v>245</v>
          </cell>
          <cell r="G55">
            <v>240</v>
          </cell>
          <cell r="H55">
            <v>235</v>
          </cell>
          <cell r="I55">
            <v>220</v>
          </cell>
          <cell r="J55">
            <v>23</v>
          </cell>
          <cell r="K55">
            <v>23</v>
          </cell>
        </row>
        <row r="56">
          <cell r="A56" t="str">
            <v>SI1633_20260220</v>
          </cell>
          <cell r="B56" t="str">
            <v>한창구</v>
          </cell>
          <cell r="C56">
            <v>46073</v>
          </cell>
          <cell r="D56" t="str">
            <v>설화수 진설명작크림 (견) 5ML (AD 용기받침</v>
          </cell>
          <cell r="E56">
            <v>220</v>
          </cell>
          <cell r="F56">
            <v>210</v>
          </cell>
          <cell r="G56">
            <v>205</v>
          </cell>
          <cell r="H56">
            <v>200</v>
          </cell>
          <cell r="I56">
            <v>190</v>
          </cell>
          <cell r="J56">
            <v>23</v>
          </cell>
          <cell r="K56">
            <v>23</v>
          </cell>
        </row>
        <row r="57">
          <cell r="A57" t="str">
            <v>SI1674_20260213</v>
          </cell>
          <cell r="B57" t="str">
            <v>장세래</v>
          </cell>
          <cell r="C57">
            <v>46066</v>
          </cell>
          <cell r="D57" t="str">
            <v>미니슬림쿠션 접시 사출</v>
          </cell>
          <cell r="E57">
            <v>220</v>
          </cell>
          <cell r="F57">
            <v>190</v>
          </cell>
          <cell r="G57">
            <v>190</v>
          </cell>
          <cell r="H57">
            <v>190</v>
          </cell>
          <cell r="I57">
            <v>185</v>
          </cell>
          <cell r="J57">
            <v>23</v>
          </cell>
          <cell r="K57">
            <v>23</v>
          </cell>
        </row>
        <row r="58">
          <cell r="A58" t="str">
            <v>SI1640_20260213</v>
          </cell>
          <cell r="B58" t="str">
            <v>한창구</v>
          </cell>
          <cell r="C58">
            <v>46066</v>
          </cell>
          <cell r="D58" t="str">
            <v>헤라 시그니아 바이탈리프팅크림 소용량 15ml 26AD 내캡</v>
          </cell>
          <cell r="E58" t="str">
            <v>220(245)</v>
          </cell>
          <cell r="F58" t="str">
            <v>190(230)</v>
          </cell>
          <cell r="G58" t="str">
            <v>190(220)</v>
          </cell>
          <cell r="H58" t="str">
            <v>185(215)</v>
          </cell>
          <cell r="I58" t="str">
            <v>180(190)</v>
          </cell>
          <cell r="J58">
            <v>23</v>
          </cell>
          <cell r="K58">
            <v>23</v>
          </cell>
        </row>
        <row r="59">
          <cell r="A59" t="str">
            <v>SI1676_20260210</v>
          </cell>
          <cell r="B59" t="str">
            <v>장세래</v>
          </cell>
          <cell r="C59">
            <v>46063</v>
          </cell>
          <cell r="D59" t="str">
            <v>미니슬림쿠션 중용기 사출</v>
          </cell>
          <cell r="E59">
            <v>200</v>
          </cell>
          <cell r="F59">
            <v>185</v>
          </cell>
          <cell r="G59">
            <v>185</v>
          </cell>
          <cell r="H59">
            <v>185</v>
          </cell>
          <cell r="I59">
            <v>180</v>
          </cell>
          <cell r="J59">
            <v>23</v>
          </cell>
          <cell r="K59">
            <v>23</v>
          </cell>
        </row>
        <row r="60">
          <cell r="A60" t="str">
            <v>SI1668_20260210</v>
          </cell>
          <cell r="B60" t="str">
            <v>장세래</v>
          </cell>
          <cell r="C60">
            <v>46063</v>
          </cell>
          <cell r="D60" t="str">
            <v>마몽드 어메이징딥 민트클렌징밤 90ml(26AD 원터치단캡 사출</v>
          </cell>
          <cell r="E60">
            <v>200</v>
          </cell>
          <cell r="F60">
            <v>185</v>
          </cell>
          <cell r="G60">
            <v>185</v>
          </cell>
          <cell r="H60">
            <v>185</v>
          </cell>
          <cell r="I60">
            <v>180</v>
          </cell>
          <cell r="J60">
            <v>23</v>
          </cell>
          <cell r="K60">
            <v>23</v>
          </cell>
        </row>
        <row r="61">
          <cell r="A61" t="str">
            <v>SI1616_20260209</v>
          </cell>
          <cell r="B61" t="str">
            <v>이종운</v>
          </cell>
          <cell r="C61">
            <v>46062</v>
          </cell>
          <cell r="D61" t="str">
            <v>설화수 진설명작크림 60ML (26AD 사출덮개</v>
          </cell>
          <cell r="E61">
            <v>250</v>
          </cell>
          <cell r="F61">
            <v>245</v>
          </cell>
          <cell r="G61">
            <v>240</v>
          </cell>
          <cell r="H61">
            <v>235</v>
          </cell>
          <cell r="I61">
            <v>220</v>
          </cell>
          <cell r="J61">
            <v>23</v>
          </cell>
          <cell r="K61">
            <v>23</v>
          </cell>
        </row>
        <row r="62">
          <cell r="A62" t="str">
            <v>SI1629_20260209</v>
          </cell>
          <cell r="B62" t="str">
            <v>이종운</v>
          </cell>
          <cell r="C62">
            <v>46062</v>
          </cell>
          <cell r="D62" t="str">
            <v>설화수 진설명작크림 (견) 10ML (AD 사출덮개</v>
          </cell>
          <cell r="E62">
            <v>255</v>
          </cell>
          <cell r="F62">
            <v>245</v>
          </cell>
          <cell r="G62">
            <v>245</v>
          </cell>
          <cell r="H62">
            <v>245</v>
          </cell>
          <cell r="I62">
            <v>225</v>
          </cell>
          <cell r="J62">
            <v>23</v>
          </cell>
          <cell r="K62">
            <v>23</v>
          </cell>
        </row>
        <row r="63">
          <cell r="A63" t="str">
            <v>SI1634_20260209</v>
          </cell>
          <cell r="B63" t="str">
            <v>이종운</v>
          </cell>
          <cell r="C63">
            <v>46062</v>
          </cell>
          <cell r="D63" t="str">
            <v>설화수 진설명작크림 (견) 5ML (AD 사출덮개</v>
          </cell>
          <cell r="E63">
            <v>240</v>
          </cell>
          <cell r="F63">
            <v>230</v>
          </cell>
          <cell r="G63">
            <v>230</v>
          </cell>
          <cell r="H63">
            <v>225</v>
          </cell>
          <cell r="I63">
            <v>220</v>
          </cell>
          <cell r="J63">
            <v>23</v>
          </cell>
          <cell r="K63">
            <v>23</v>
          </cell>
        </row>
        <row r="64">
          <cell r="A64" t="str">
            <v>SI1667_20260206</v>
          </cell>
          <cell r="B64">
            <v>0</v>
          </cell>
          <cell r="C64">
            <v>46059</v>
          </cell>
          <cell r="D64" t="str">
            <v>오딧세이 로맨틱더클래식 스킨리파이너130ML(26EC(착인 내캡</v>
          </cell>
          <cell r="E64">
            <v>200</v>
          </cell>
          <cell r="F64">
            <v>200</v>
          </cell>
          <cell r="G64">
            <v>200</v>
          </cell>
          <cell r="H64">
            <v>195</v>
          </cell>
          <cell r="I64">
            <v>190</v>
          </cell>
          <cell r="J64">
            <v>23</v>
          </cell>
          <cell r="K64">
            <v>23</v>
          </cell>
        </row>
        <row r="65">
          <cell r="A65" t="str">
            <v>SI1674_20260204</v>
          </cell>
          <cell r="B65" t="str">
            <v>장세래</v>
          </cell>
          <cell r="C65">
            <v>46057</v>
          </cell>
          <cell r="D65" t="str">
            <v>미니슬림쿠션 접시 사출</v>
          </cell>
          <cell r="E65">
            <v>210</v>
          </cell>
          <cell r="F65">
            <v>195</v>
          </cell>
          <cell r="G65">
            <v>195</v>
          </cell>
          <cell r="H65">
            <v>190</v>
          </cell>
          <cell r="I65">
            <v>180</v>
          </cell>
          <cell r="J65">
            <v>23</v>
          </cell>
          <cell r="K65">
            <v>23</v>
          </cell>
        </row>
        <row r="66">
          <cell r="A66" t="str">
            <v>SI1675_20260203</v>
          </cell>
          <cell r="B66" t="str">
            <v>장세래</v>
          </cell>
          <cell r="C66">
            <v>46056</v>
          </cell>
          <cell r="D66" t="str">
            <v>미니슬림쿠션 중용기 덮개 사출</v>
          </cell>
          <cell r="E66">
            <v>210</v>
          </cell>
          <cell r="F66">
            <v>195</v>
          </cell>
          <cell r="G66">
            <v>190</v>
          </cell>
          <cell r="H66">
            <v>190</v>
          </cell>
          <cell r="I66">
            <v>180</v>
          </cell>
          <cell r="J66">
            <v>23</v>
          </cell>
          <cell r="K66">
            <v>23</v>
          </cell>
        </row>
        <row r="67">
          <cell r="A67" t="str">
            <v>SI1676_20260203</v>
          </cell>
          <cell r="B67" t="str">
            <v>장세래</v>
          </cell>
          <cell r="C67">
            <v>46056</v>
          </cell>
          <cell r="D67" t="str">
            <v>미니슬림쿠션 중용기 사출</v>
          </cell>
          <cell r="E67">
            <v>210</v>
          </cell>
          <cell r="F67">
            <v>195</v>
          </cell>
          <cell r="G67">
            <v>195</v>
          </cell>
          <cell r="H67">
            <v>190</v>
          </cell>
          <cell r="I67">
            <v>180</v>
          </cell>
          <cell r="J67">
            <v>23</v>
          </cell>
          <cell r="K67">
            <v>23</v>
          </cell>
        </row>
        <row r="68">
          <cell r="A68" t="str">
            <v>SI1673_20260202</v>
          </cell>
          <cell r="B68" t="str">
            <v>장세래</v>
          </cell>
          <cell r="C68">
            <v>46055</v>
          </cell>
          <cell r="D68" t="str">
            <v>미니슬림쿠션 하케이스 사출</v>
          </cell>
          <cell r="E68">
            <v>220</v>
          </cell>
          <cell r="F68">
            <v>210</v>
          </cell>
          <cell r="G68">
            <v>210</v>
          </cell>
          <cell r="H68">
            <v>210</v>
          </cell>
          <cell r="I68">
            <v>200</v>
          </cell>
          <cell r="J68">
            <v>23</v>
          </cell>
          <cell r="K68">
            <v>23</v>
          </cell>
          <cell r="L68" t="str">
            <v>NO3-50℃ 온수</v>
          </cell>
        </row>
        <row r="69">
          <cell r="A69" t="str">
            <v>SI1672_20260202</v>
          </cell>
          <cell r="B69" t="str">
            <v>장세래</v>
          </cell>
          <cell r="C69">
            <v>46055</v>
          </cell>
          <cell r="D69" t="str">
            <v>미니슬림쿠션 상케이스 사출</v>
          </cell>
          <cell r="E69">
            <v>220</v>
          </cell>
          <cell r="F69">
            <v>210</v>
          </cell>
          <cell r="G69">
            <v>210</v>
          </cell>
          <cell r="H69">
            <v>210</v>
          </cell>
          <cell r="I69">
            <v>200</v>
          </cell>
          <cell r="J69">
            <v>23</v>
          </cell>
          <cell r="K69">
            <v>23</v>
          </cell>
          <cell r="L69" t="str">
            <v>NO3 - 50℃(온수)</v>
          </cell>
        </row>
        <row r="70">
          <cell r="A70" t="str">
            <v>SI1675_20260130</v>
          </cell>
          <cell r="B70" t="str">
            <v>장세래</v>
          </cell>
          <cell r="C70">
            <v>46052</v>
          </cell>
          <cell r="D70" t="str">
            <v>미니슬림쿠션 중용기 덮개 사출</v>
          </cell>
          <cell r="E70">
            <v>210</v>
          </cell>
          <cell r="F70">
            <v>195</v>
          </cell>
          <cell r="G70">
            <v>190</v>
          </cell>
          <cell r="H70">
            <v>190</v>
          </cell>
          <cell r="I70">
            <v>180</v>
          </cell>
          <cell r="J70">
            <v>23</v>
          </cell>
          <cell r="K70">
            <v>23</v>
          </cell>
        </row>
        <row r="71">
          <cell r="A71" t="str">
            <v>SI1676_20260130</v>
          </cell>
          <cell r="B71" t="str">
            <v>장세래</v>
          </cell>
          <cell r="C71">
            <v>46052</v>
          </cell>
          <cell r="D71" t="str">
            <v>미니슬림쿠션 중용기 사출</v>
          </cell>
          <cell r="E71">
            <v>210</v>
          </cell>
          <cell r="F71">
            <v>195</v>
          </cell>
          <cell r="G71">
            <v>190</v>
          </cell>
          <cell r="H71">
            <v>190</v>
          </cell>
          <cell r="I71">
            <v>180</v>
          </cell>
          <cell r="J71">
            <v>23</v>
          </cell>
          <cell r="K71">
            <v>23</v>
          </cell>
        </row>
        <row r="72">
          <cell r="A72" t="str">
            <v>SI1629_20260128</v>
          </cell>
          <cell r="B72" t="str">
            <v>한창구</v>
          </cell>
          <cell r="C72">
            <v>46050</v>
          </cell>
          <cell r="D72" t="str">
            <v>설화수 진설명작크림 (견) 10ML (AD 사출덮개</v>
          </cell>
          <cell r="E72">
            <v>255</v>
          </cell>
          <cell r="F72">
            <v>245</v>
          </cell>
          <cell r="G72">
            <v>245</v>
          </cell>
          <cell r="H72">
            <v>245</v>
          </cell>
          <cell r="I72">
            <v>225</v>
          </cell>
          <cell r="J72">
            <v>23</v>
          </cell>
          <cell r="K72">
            <v>23</v>
          </cell>
        </row>
        <row r="73">
          <cell r="A73" t="str">
            <v>SI1671_20260126</v>
          </cell>
          <cell r="B73" t="str">
            <v>유재호</v>
          </cell>
          <cell r="C73">
            <v>46048</v>
          </cell>
          <cell r="D73" t="str">
            <v>마몽드 어메이징딥 민트클렌징밤 90ml(26AD 단용기 사출</v>
          </cell>
          <cell r="J73">
            <v>23</v>
          </cell>
          <cell r="K73">
            <v>23</v>
          </cell>
          <cell r="M73" t="str">
            <v>1번 / 2번</v>
          </cell>
          <cell r="N73" t="str">
            <v>3번 / 4번</v>
          </cell>
          <cell r="O73" t="str">
            <v>5~10번</v>
          </cell>
          <cell r="Q73" t="str">
            <v>230 / 190</v>
          </cell>
          <cell r="R73" t="str">
            <v>190 / 200</v>
          </cell>
          <cell r="S73">
            <v>200</v>
          </cell>
        </row>
        <row r="74">
          <cell r="A74" t="str">
            <v>SI1673_20260123</v>
          </cell>
          <cell r="B74" t="str">
            <v>장세래</v>
          </cell>
          <cell r="C74">
            <v>46045</v>
          </cell>
          <cell r="D74" t="str">
            <v>미니슬림쿠션 하케이스 사출</v>
          </cell>
          <cell r="E74">
            <v>220</v>
          </cell>
          <cell r="F74">
            <v>215</v>
          </cell>
          <cell r="G74">
            <v>215</v>
          </cell>
          <cell r="H74">
            <v>200</v>
          </cell>
          <cell r="I74">
            <v>190</v>
          </cell>
          <cell r="J74">
            <v>23</v>
          </cell>
          <cell r="K74">
            <v>23</v>
          </cell>
          <cell r="L74" t="str">
            <v>No3 50℃ 온수</v>
          </cell>
        </row>
        <row r="75">
          <cell r="A75" t="str">
            <v>SI1672_20260123</v>
          </cell>
          <cell r="B75" t="str">
            <v>장세래</v>
          </cell>
          <cell r="C75">
            <v>46045</v>
          </cell>
          <cell r="D75" t="str">
            <v>미니슬림쿠션 상케이스 사출</v>
          </cell>
          <cell r="E75">
            <v>220</v>
          </cell>
          <cell r="F75">
            <v>215</v>
          </cell>
          <cell r="G75">
            <v>215</v>
          </cell>
          <cell r="H75">
            <v>210</v>
          </cell>
          <cell r="I75">
            <v>190</v>
          </cell>
          <cell r="J75">
            <v>23</v>
          </cell>
          <cell r="K75">
            <v>23</v>
          </cell>
          <cell r="L75" t="str">
            <v>No3 60℃</v>
          </cell>
        </row>
        <row r="76">
          <cell r="A76" t="str">
            <v>SI1675_20260123</v>
          </cell>
          <cell r="B76" t="str">
            <v>장세래</v>
          </cell>
          <cell r="C76">
            <v>46045</v>
          </cell>
          <cell r="D76" t="str">
            <v>미니슬림쿠션 중용기 덮개 사출</v>
          </cell>
          <cell r="F76">
            <v>200</v>
          </cell>
          <cell r="G76">
            <v>190</v>
          </cell>
          <cell r="H76">
            <v>190</v>
          </cell>
          <cell r="I76">
            <v>190</v>
          </cell>
          <cell r="J76">
            <v>180</v>
          </cell>
          <cell r="K76">
            <v>23</v>
          </cell>
          <cell r="L76">
            <v>23</v>
          </cell>
        </row>
        <row r="77">
          <cell r="A77" t="str">
            <v>SI1625_20260123</v>
          </cell>
          <cell r="B77" t="str">
            <v>한창구</v>
          </cell>
          <cell r="C77">
            <v>46045</v>
          </cell>
          <cell r="D77" t="str">
            <v>설화수 진설명작크림 (견) 10ML (AD 외캡</v>
          </cell>
          <cell r="E77">
            <v>230</v>
          </cell>
          <cell r="F77">
            <v>210</v>
          </cell>
          <cell r="G77">
            <v>210</v>
          </cell>
          <cell r="H77">
            <v>210</v>
          </cell>
          <cell r="I77">
            <v>200</v>
          </cell>
          <cell r="J77">
            <v>23</v>
          </cell>
          <cell r="K77">
            <v>48</v>
          </cell>
        </row>
        <row r="78">
          <cell r="A78" t="str">
            <v>SI1627_20260120</v>
          </cell>
          <cell r="B78" t="str">
            <v>한창구</v>
          </cell>
          <cell r="C78">
            <v>46042</v>
          </cell>
          <cell r="D78" t="str">
            <v>설화수 진설명작크림 (견) 10ML (AD 용기받침</v>
          </cell>
          <cell r="E78">
            <v>200</v>
          </cell>
          <cell r="F78">
            <v>200</v>
          </cell>
          <cell r="G78">
            <v>190</v>
          </cell>
          <cell r="H78">
            <v>190</v>
          </cell>
          <cell r="I78">
            <v>185</v>
          </cell>
          <cell r="J78">
            <v>23</v>
          </cell>
          <cell r="K78">
            <v>23</v>
          </cell>
        </row>
        <row r="79">
          <cell r="A79" t="str">
            <v>SI1614_20260116</v>
          </cell>
          <cell r="B79" t="str">
            <v>한창구</v>
          </cell>
          <cell r="C79">
            <v>46038</v>
          </cell>
          <cell r="D79" t="str">
            <v>설화수 진설명작크림 60ML (26AD 내캡</v>
          </cell>
          <cell r="E79">
            <v>225</v>
          </cell>
          <cell r="F79">
            <v>190</v>
          </cell>
          <cell r="G79">
            <v>185</v>
          </cell>
          <cell r="H79">
            <v>185</v>
          </cell>
          <cell r="I79">
            <v>180</v>
          </cell>
          <cell r="J79">
            <v>22</v>
          </cell>
          <cell r="K79">
            <v>22</v>
          </cell>
        </row>
        <row r="80">
          <cell r="A80" t="str">
            <v>SI1674_20260113</v>
          </cell>
          <cell r="B80" t="str">
            <v>장세래</v>
          </cell>
          <cell r="C80">
            <v>46035</v>
          </cell>
          <cell r="D80" t="str">
            <v>미니슬림쿠션 접시 사출</v>
          </cell>
          <cell r="E80">
            <v>190</v>
          </cell>
          <cell r="F80">
            <v>190</v>
          </cell>
          <cell r="G80">
            <v>190</v>
          </cell>
          <cell r="H80">
            <v>190</v>
          </cell>
          <cell r="I80">
            <v>180</v>
          </cell>
          <cell r="J80">
            <v>23</v>
          </cell>
          <cell r="K80">
            <v>23</v>
          </cell>
        </row>
        <row r="81">
          <cell r="A81" t="str">
            <v>SI1673_20260113</v>
          </cell>
          <cell r="B81" t="str">
            <v>장세래</v>
          </cell>
          <cell r="C81">
            <v>46035</v>
          </cell>
          <cell r="D81" t="str">
            <v>미니슬림쿠션 하케이스 사출</v>
          </cell>
          <cell r="E81">
            <v>210</v>
          </cell>
          <cell r="F81">
            <v>210</v>
          </cell>
          <cell r="G81">
            <v>210</v>
          </cell>
          <cell r="H81">
            <v>210</v>
          </cell>
          <cell r="I81">
            <v>200</v>
          </cell>
          <cell r="J81">
            <v>23</v>
          </cell>
          <cell r="K81">
            <v>23</v>
          </cell>
          <cell r="L81" t="str">
            <v>반잠금</v>
          </cell>
        </row>
        <row r="82">
          <cell r="A82" t="str">
            <v>SI1672_20260113</v>
          </cell>
          <cell r="B82" t="str">
            <v>장세래</v>
          </cell>
          <cell r="C82">
            <v>46035</v>
          </cell>
          <cell r="D82" t="str">
            <v>미니슬림쿠션 상케이스 사출</v>
          </cell>
          <cell r="E82">
            <v>210</v>
          </cell>
          <cell r="F82">
            <v>210</v>
          </cell>
          <cell r="G82">
            <v>210</v>
          </cell>
          <cell r="H82">
            <v>210</v>
          </cell>
          <cell r="I82">
            <v>200</v>
          </cell>
          <cell r="J82">
            <v>23</v>
          </cell>
          <cell r="K82">
            <v>23</v>
          </cell>
          <cell r="L82" t="str">
            <v>No3 - 55℃ (온수)</v>
          </cell>
        </row>
        <row r="83">
          <cell r="A83" t="str">
            <v>SI1669_20251218</v>
          </cell>
          <cell r="B83" t="str">
            <v>한창구</v>
          </cell>
          <cell r="C83">
            <v>46009</v>
          </cell>
          <cell r="D83" t="str">
            <v>마몽드 어메이징딥 민트클렌징밤 90ml(26AD 스파출러대 사출</v>
          </cell>
          <cell r="E83">
            <v>210</v>
          </cell>
          <cell r="F83">
            <v>200</v>
          </cell>
          <cell r="G83">
            <v>200</v>
          </cell>
          <cell r="H83">
            <v>200</v>
          </cell>
          <cell r="I83">
            <v>180</v>
          </cell>
          <cell r="J83">
            <v>23</v>
          </cell>
          <cell r="K83">
            <v>23</v>
          </cell>
        </row>
        <row r="84">
          <cell r="A84" t="str">
            <v>SI1669_20260113</v>
          </cell>
          <cell r="B84" t="str">
            <v>남기갑</v>
          </cell>
          <cell r="C84">
            <v>46035</v>
          </cell>
          <cell r="D84" t="str">
            <v>마몽드 어메이징딥 민트클렌징밤 90ml(26AD 스파출러대 사출</v>
          </cell>
          <cell r="E84">
            <v>230</v>
          </cell>
          <cell r="F84">
            <v>190</v>
          </cell>
          <cell r="G84">
            <v>190</v>
          </cell>
          <cell r="H84">
            <v>190</v>
          </cell>
          <cell r="I84">
            <v>180</v>
          </cell>
          <cell r="J84">
            <v>23</v>
          </cell>
          <cell r="K84">
            <v>23</v>
          </cell>
        </row>
        <row r="85">
          <cell r="A85" t="str">
            <v>SI1668_20260112</v>
          </cell>
          <cell r="B85" t="str">
            <v>유재호</v>
          </cell>
          <cell r="C85">
            <v>46034</v>
          </cell>
          <cell r="D85" t="str">
            <v>마몽드 어메이징딥 민트클렌징밤 90ml(26AD 원터치단캡 사출</v>
          </cell>
          <cell r="E85">
            <v>200</v>
          </cell>
          <cell r="F85">
            <v>185</v>
          </cell>
          <cell r="G85">
            <v>185</v>
          </cell>
          <cell r="H85">
            <v>185</v>
          </cell>
          <cell r="I85">
            <v>180</v>
          </cell>
          <cell r="J85">
            <v>23</v>
          </cell>
          <cell r="K85">
            <v>23</v>
          </cell>
        </row>
        <row r="86">
          <cell r="A86" t="str">
            <v>SI1671_20260112</v>
          </cell>
          <cell r="B86" t="str">
            <v>장세래</v>
          </cell>
          <cell r="C86">
            <v>46034</v>
          </cell>
          <cell r="D86" t="str">
            <v>마몽드 어메이징딥 민트클렌징밤 90ml(26AD 단용기 사출</v>
          </cell>
          <cell r="E86">
            <v>190</v>
          </cell>
          <cell r="F86">
            <v>190</v>
          </cell>
          <cell r="G86">
            <v>190</v>
          </cell>
          <cell r="H86">
            <v>190</v>
          </cell>
          <cell r="I86">
            <v>180</v>
          </cell>
          <cell r="J86">
            <v>23</v>
          </cell>
          <cell r="K86">
            <v>23</v>
          </cell>
          <cell r="L86" t="str">
            <v>No4. 온수 30℃</v>
          </cell>
          <cell r="M86" t="str">
            <v>1~4</v>
          </cell>
          <cell r="N86" t="str">
            <v>5~10</v>
          </cell>
          <cell r="Q86">
            <v>180</v>
          </cell>
          <cell r="R86">
            <v>190</v>
          </cell>
        </row>
        <row r="87">
          <cell r="A87" t="str">
            <v>SI1661_20251225</v>
          </cell>
          <cell r="B87" t="str">
            <v>장세래</v>
          </cell>
          <cell r="C87">
            <v>46016</v>
          </cell>
          <cell r="D87" t="str">
            <v>해피바스 달잠 밀키라벤더 바디로션500g+괄사단품기획(OY 마사져대 사출</v>
          </cell>
          <cell r="E87">
            <v>220</v>
          </cell>
          <cell r="F87">
            <v>220</v>
          </cell>
          <cell r="G87">
            <v>220</v>
          </cell>
          <cell r="H87">
            <v>220</v>
          </cell>
          <cell r="I87">
            <v>220</v>
          </cell>
          <cell r="L87" t="str">
            <v>냉온복합기 125도  30도
금형대기 25초</v>
          </cell>
          <cell r="M87" t="str">
            <v>1~2</v>
          </cell>
          <cell r="N87" t="str">
            <v>3~5</v>
          </cell>
          <cell r="Q87">
            <v>210</v>
          </cell>
          <cell r="R87">
            <v>230</v>
          </cell>
        </row>
        <row r="88">
          <cell r="A88" t="str">
            <v>SI1626_20251223</v>
          </cell>
          <cell r="B88" t="str">
            <v>유재호</v>
          </cell>
          <cell r="C88">
            <v>46014</v>
          </cell>
          <cell r="D88" t="str">
            <v>설화수 진설명작크림 (견) 10ML (AD 내캡</v>
          </cell>
          <cell r="E88">
            <v>210</v>
          </cell>
          <cell r="F88">
            <v>190</v>
          </cell>
          <cell r="G88">
            <v>190</v>
          </cell>
          <cell r="H88">
            <v>190</v>
          </cell>
          <cell r="I88">
            <v>185</v>
          </cell>
          <cell r="J88">
            <v>23</v>
          </cell>
          <cell r="K88">
            <v>23</v>
          </cell>
        </row>
        <row r="89">
          <cell r="A89" t="str">
            <v>SI1631_20251223</v>
          </cell>
          <cell r="B89" t="str">
            <v>유재호</v>
          </cell>
          <cell r="C89">
            <v>46014</v>
          </cell>
          <cell r="D89" t="str">
            <v>설화수 진설명작크림 (견) 5ML (AD 내캡</v>
          </cell>
          <cell r="E89">
            <v>210</v>
          </cell>
          <cell r="F89">
            <v>190</v>
          </cell>
          <cell r="G89">
            <v>190</v>
          </cell>
          <cell r="H89">
            <v>190</v>
          </cell>
          <cell r="I89">
            <v>185</v>
          </cell>
          <cell r="J89">
            <v>23</v>
          </cell>
          <cell r="K89">
            <v>23</v>
          </cell>
        </row>
        <row r="90">
          <cell r="A90" t="str">
            <v>SI1671_20251222</v>
          </cell>
          <cell r="B90" t="str">
            <v>장세래</v>
          </cell>
          <cell r="C90">
            <v>46013</v>
          </cell>
          <cell r="D90" t="str">
            <v>마몽드 어메이징딥 민트클렌징밤 90ml(26AD 단용기 사출</v>
          </cell>
          <cell r="E90">
            <v>200</v>
          </cell>
          <cell r="F90">
            <v>190</v>
          </cell>
          <cell r="G90">
            <v>190</v>
          </cell>
          <cell r="H90">
            <v>190</v>
          </cell>
          <cell r="I90">
            <v>185</v>
          </cell>
          <cell r="J90">
            <v>23</v>
          </cell>
          <cell r="K90">
            <v>23</v>
          </cell>
          <cell r="L90" t="str">
            <v>4번판 측면 온수 70도</v>
          </cell>
          <cell r="M90" t="str">
            <v>1~4</v>
          </cell>
          <cell r="N90" t="str">
            <v>5~8</v>
          </cell>
          <cell r="O90" t="str">
            <v>9~10</v>
          </cell>
          <cell r="Q90">
            <v>180</v>
          </cell>
          <cell r="R90">
            <v>190</v>
          </cell>
          <cell r="S90">
            <v>190</v>
          </cell>
        </row>
        <row r="91">
          <cell r="A91" t="str">
            <v>SI1670_20251218</v>
          </cell>
          <cell r="B91" t="str">
            <v>유재호</v>
          </cell>
          <cell r="C91">
            <v>46009</v>
          </cell>
          <cell r="D91" t="str">
            <v>마몽드 어메이징딥 민트클렌징밤 90ml(26AD 사출덮개 사출</v>
          </cell>
          <cell r="E91">
            <v>200</v>
          </cell>
          <cell r="F91">
            <v>185</v>
          </cell>
          <cell r="G91">
            <v>185</v>
          </cell>
          <cell r="H91">
            <v>185</v>
          </cell>
          <cell r="I91">
            <v>180</v>
          </cell>
          <cell r="J91">
            <v>23</v>
          </cell>
          <cell r="K91">
            <v>23</v>
          </cell>
        </row>
        <row r="92">
          <cell r="A92" t="str">
            <v>SI1616_20251215</v>
          </cell>
          <cell r="B92">
            <v>0</v>
          </cell>
          <cell r="C92">
            <v>46006</v>
          </cell>
          <cell r="D92" t="str">
            <v>설화수 진설명작크림 60ML (26AD 사출덮개</v>
          </cell>
          <cell r="E92">
            <v>250</v>
          </cell>
          <cell r="F92">
            <v>245</v>
          </cell>
          <cell r="G92">
            <v>240</v>
          </cell>
          <cell r="H92">
            <v>235</v>
          </cell>
          <cell r="I92">
            <v>220</v>
          </cell>
          <cell r="J92">
            <v>23</v>
          </cell>
          <cell r="K92">
            <v>23</v>
          </cell>
        </row>
        <row r="93">
          <cell r="A93" t="str">
            <v>SI1669_20251209</v>
          </cell>
          <cell r="B93" t="str">
            <v>장세래</v>
          </cell>
          <cell r="C93">
            <v>46000</v>
          </cell>
          <cell r="D93" t="str">
            <v>마몽드 어메이징딥 민트클렌징밤 90ml(26AD 스파출러대 사출</v>
          </cell>
          <cell r="E93">
            <v>200</v>
          </cell>
          <cell r="F93">
            <v>190</v>
          </cell>
          <cell r="G93">
            <v>190</v>
          </cell>
          <cell r="H93">
            <v>190</v>
          </cell>
          <cell r="I93">
            <v>180</v>
          </cell>
          <cell r="J93">
            <v>23</v>
          </cell>
          <cell r="K93">
            <v>23</v>
          </cell>
        </row>
        <row r="94">
          <cell r="A94" t="str">
            <v>SI1670_20251205</v>
          </cell>
          <cell r="B94" t="str">
            <v>유재호</v>
          </cell>
          <cell r="C94">
            <v>45996</v>
          </cell>
          <cell r="D94" t="str">
            <v>마몽드 어메이징딥 민트클렌징밤 90ml(26AD 사출덮개 사출</v>
          </cell>
          <cell r="E94">
            <v>220</v>
          </cell>
          <cell r="F94">
            <v>180</v>
          </cell>
          <cell r="G94">
            <v>180</v>
          </cell>
          <cell r="H94">
            <v>180</v>
          </cell>
          <cell r="I94">
            <v>180</v>
          </cell>
          <cell r="J94">
            <v>23</v>
          </cell>
          <cell r="K94">
            <v>23</v>
          </cell>
        </row>
        <row r="95">
          <cell r="A95" t="str">
            <v>SI1671_20251203</v>
          </cell>
          <cell r="B95" t="str">
            <v>장세래</v>
          </cell>
          <cell r="C95">
            <v>45994</v>
          </cell>
          <cell r="D95" t="str">
            <v>마몽드 어메이징딥 민트클렌징밤 90ml(26AD 단용기 사출</v>
          </cell>
          <cell r="E95">
            <v>200</v>
          </cell>
          <cell r="F95">
            <v>190</v>
          </cell>
          <cell r="G95">
            <v>190</v>
          </cell>
          <cell r="H95">
            <v>190</v>
          </cell>
          <cell r="I95">
            <v>180</v>
          </cell>
          <cell r="J95">
            <v>23</v>
          </cell>
          <cell r="K95">
            <v>23</v>
          </cell>
          <cell r="L95" t="str">
            <v>No4판 게이트베이스 70℃</v>
          </cell>
          <cell r="M95" t="str">
            <v>No1~4</v>
          </cell>
          <cell r="N95" t="str">
            <v>No5~8</v>
          </cell>
          <cell r="O95" t="str">
            <v>No9</v>
          </cell>
          <cell r="Q95">
            <v>180</v>
          </cell>
          <cell r="R95">
            <v>190</v>
          </cell>
          <cell r="S95">
            <v>190</v>
          </cell>
        </row>
        <row r="96">
          <cell r="A96" t="str">
            <v>SI1668_20251203</v>
          </cell>
          <cell r="B96" t="str">
            <v>장세래</v>
          </cell>
          <cell r="C96">
            <v>45994</v>
          </cell>
          <cell r="D96" t="str">
            <v>마몽드 어메이징딥 민트클렌징밤 90ml(26AD 원터치단캡 사출</v>
          </cell>
          <cell r="E96">
            <v>200</v>
          </cell>
          <cell r="F96">
            <v>190</v>
          </cell>
          <cell r="G96">
            <v>190</v>
          </cell>
          <cell r="H96">
            <v>190</v>
          </cell>
          <cell r="I96">
            <v>185</v>
          </cell>
          <cell r="J96">
            <v>23</v>
          </cell>
          <cell r="K96">
            <v>23</v>
          </cell>
        </row>
        <row r="97">
          <cell r="A97" t="str">
            <v>SI1669_20251124</v>
          </cell>
          <cell r="B97" t="str">
            <v>유재호</v>
          </cell>
          <cell r="C97">
            <v>45985</v>
          </cell>
          <cell r="D97" t="str">
            <v>마몽드 어메이징딥 민트클렌징밤 90ml(26AD 스파출러대 사출</v>
          </cell>
          <cell r="E97">
            <v>210</v>
          </cell>
          <cell r="F97">
            <v>200</v>
          </cell>
          <cell r="G97">
            <v>200</v>
          </cell>
          <cell r="H97">
            <v>200</v>
          </cell>
          <cell r="I97">
            <v>180</v>
          </cell>
          <cell r="J97">
            <v>23</v>
          </cell>
          <cell r="K97">
            <v>23</v>
          </cell>
        </row>
        <row r="98">
          <cell r="A98" t="str">
            <v>SI1617_20251121</v>
          </cell>
          <cell r="B98" t="str">
            <v>장세래</v>
          </cell>
          <cell r="C98">
            <v>45982</v>
          </cell>
          <cell r="D98" t="str">
            <v>설화수 진설명작크림 60ML (26AD 중용기</v>
          </cell>
          <cell r="E98">
            <v>220</v>
          </cell>
          <cell r="F98">
            <v>210</v>
          </cell>
          <cell r="G98">
            <v>210</v>
          </cell>
          <cell r="H98">
            <v>210</v>
          </cell>
          <cell r="I98">
            <v>200</v>
          </cell>
          <cell r="J98">
            <v>23</v>
          </cell>
          <cell r="K98">
            <v>23</v>
          </cell>
          <cell r="L98" t="str">
            <v>NO3 - 45℃</v>
          </cell>
        </row>
        <row r="99">
          <cell r="A99" t="str">
            <v>SI1620_20251121</v>
          </cell>
          <cell r="B99" t="str">
            <v>장세래</v>
          </cell>
          <cell r="C99">
            <v>45982</v>
          </cell>
          <cell r="D99" t="str">
            <v>설화수 진설명작크림 60ML (26AD 용기받침 사출</v>
          </cell>
          <cell r="E99">
            <v>220</v>
          </cell>
          <cell r="F99">
            <v>210</v>
          </cell>
          <cell r="G99">
            <v>210</v>
          </cell>
          <cell r="H99">
            <v>210</v>
          </cell>
          <cell r="I99">
            <v>200</v>
          </cell>
          <cell r="J99">
            <v>23</v>
          </cell>
          <cell r="K99">
            <v>23</v>
          </cell>
          <cell r="L99" t="str">
            <v>반잠금</v>
          </cell>
        </row>
        <row r="100">
          <cell r="A100" t="str">
            <v>SI1628_20251121</v>
          </cell>
          <cell r="B100" t="str">
            <v>이종운</v>
          </cell>
          <cell r="C100">
            <v>45982</v>
          </cell>
          <cell r="D100" t="str">
            <v>설화수 진설명작크림 (견) 10ML (AD 단용기</v>
          </cell>
          <cell r="E100">
            <v>225</v>
          </cell>
          <cell r="F100">
            <v>190</v>
          </cell>
          <cell r="G100">
            <v>185</v>
          </cell>
          <cell r="H100">
            <v>185</v>
          </cell>
          <cell r="I100">
            <v>180</v>
          </cell>
          <cell r="L100" t="str">
            <v>일반수냉각(1/2)</v>
          </cell>
        </row>
        <row r="101">
          <cell r="A101" t="str">
            <v>SI1632_20251121</v>
          </cell>
          <cell r="B101" t="str">
            <v>이종운</v>
          </cell>
          <cell r="C101">
            <v>45982</v>
          </cell>
          <cell r="D101" t="str">
            <v>설화수 진설명작크림 (견) 5ML (AD 단용기</v>
          </cell>
          <cell r="E101">
            <v>225</v>
          </cell>
          <cell r="F101">
            <v>190</v>
          </cell>
          <cell r="G101">
            <v>185</v>
          </cell>
          <cell r="H101">
            <v>185</v>
          </cell>
          <cell r="I101">
            <v>180</v>
          </cell>
          <cell r="L101" t="str">
            <v>일반뱅각수(1/2)</v>
          </cell>
        </row>
        <row r="102">
          <cell r="A102" t="str">
            <v>SI1618_20251119</v>
          </cell>
          <cell r="B102" t="str">
            <v>한창구</v>
          </cell>
          <cell r="C102">
            <v>45980</v>
          </cell>
          <cell r="D102" t="str">
            <v>설화수 진설명작크림 60ML (26AD 내용기</v>
          </cell>
          <cell r="E102">
            <v>210</v>
          </cell>
          <cell r="F102">
            <v>195</v>
          </cell>
          <cell r="G102">
            <v>190</v>
          </cell>
          <cell r="H102">
            <v>185</v>
          </cell>
          <cell r="I102">
            <v>180</v>
          </cell>
          <cell r="J102">
            <v>23</v>
          </cell>
          <cell r="K102">
            <v>23</v>
          </cell>
        </row>
        <row r="103">
          <cell r="A103" t="str">
            <v>SI1614_20251119</v>
          </cell>
          <cell r="B103" t="str">
            <v>한창구</v>
          </cell>
          <cell r="C103">
            <v>45980</v>
          </cell>
          <cell r="D103" t="str">
            <v>설화수 진설명작크림 60ML (26AD 내캡</v>
          </cell>
          <cell r="E103">
            <v>225</v>
          </cell>
          <cell r="F103">
            <v>190</v>
          </cell>
          <cell r="G103">
            <v>185</v>
          </cell>
          <cell r="H103">
            <v>185</v>
          </cell>
          <cell r="I103">
            <v>180</v>
          </cell>
          <cell r="J103">
            <v>23</v>
          </cell>
          <cell r="K103">
            <v>23</v>
          </cell>
        </row>
        <row r="104">
          <cell r="A104" t="str">
            <v>SI1653_20251114</v>
          </cell>
          <cell r="B104" t="str">
            <v>유재호</v>
          </cell>
          <cell r="C104">
            <v>45975</v>
          </cell>
          <cell r="D104" t="str">
            <v>홀리추얼 울트라 너리싱 아이크림 30ML 중캡</v>
          </cell>
          <cell r="F104">
            <v>230</v>
          </cell>
          <cell r="G104">
            <v>210</v>
          </cell>
          <cell r="H104">
            <v>210</v>
          </cell>
          <cell r="I104">
            <v>200</v>
          </cell>
          <cell r="J104">
            <v>23</v>
          </cell>
          <cell r="K104">
            <v>23</v>
          </cell>
        </row>
        <row r="105">
          <cell r="A105" t="str">
            <v>SI1654_20251111</v>
          </cell>
          <cell r="B105" t="str">
            <v>장세래</v>
          </cell>
          <cell r="C105">
            <v>45972</v>
          </cell>
          <cell r="D105" t="str">
            <v>홀리추얼 울트라 너리싱 아이크림 30ML 내캡</v>
          </cell>
          <cell r="E105">
            <v>200</v>
          </cell>
          <cell r="F105">
            <v>200</v>
          </cell>
          <cell r="G105">
            <v>200</v>
          </cell>
          <cell r="H105">
            <v>195</v>
          </cell>
          <cell r="I105">
            <v>190</v>
          </cell>
          <cell r="J105">
            <v>23</v>
          </cell>
          <cell r="K105">
            <v>23</v>
          </cell>
        </row>
        <row r="106">
          <cell r="A106" t="str">
            <v>SI1622_20251110</v>
          </cell>
          <cell r="B106" t="str">
            <v>장세래</v>
          </cell>
          <cell r="C106">
            <v>45971</v>
          </cell>
          <cell r="D106" t="str">
            <v>설화수 진설명작크림 60ML (26AD 스파츌러대 사출</v>
          </cell>
          <cell r="E106">
            <v>235</v>
          </cell>
          <cell r="F106">
            <v>225</v>
          </cell>
          <cell r="G106">
            <v>225</v>
          </cell>
          <cell r="H106">
            <v>225</v>
          </cell>
          <cell r="I106">
            <v>210</v>
          </cell>
          <cell r="J106">
            <v>55</v>
          </cell>
          <cell r="K106">
            <v>55</v>
          </cell>
        </row>
        <row r="107">
          <cell r="A107" t="str">
            <v>SI1611_20251104</v>
          </cell>
          <cell r="B107" t="str">
            <v>한창구</v>
          </cell>
          <cell r="C107">
            <v>45965</v>
          </cell>
          <cell r="D107" t="str">
            <v>홀리추얼 울트라 너리싱 어드밴스드 토너 150ML 내캡</v>
          </cell>
          <cell r="E107">
            <v>220</v>
          </cell>
          <cell r="F107">
            <v>190</v>
          </cell>
          <cell r="G107">
            <v>190</v>
          </cell>
          <cell r="H107">
            <v>185</v>
          </cell>
          <cell r="I107">
            <v>180</v>
          </cell>
          <cell r="J107">
            <v>23</v>
          </cell>
          <cell r="K107">
            <v>23</v>
          </cell>
        </row>
        <row r="108">
          <cell r="A108" t="str">
            <v>SI1638_20251104</v>
          </cell>
          <cell r="B108" t="str">
            <v>유재호</v>
          </cell>
          <cell r="C108">
            <v>45965</v>
          </cell>
          <cell r="D108" t="str">
            <v>헤라 시그니아 바이탈리프팅크림 소용량 15ml 26AD 내용기</v>
          </cell>
          <cell r="E108">
            <v>230</v>
          </cell>
          <cell r="F108">
            <v>195</v>
          </cell>
          <cell r="G108">
            <v>190</v>
          </cell>
          <cell r="H108">
            <v>185</v>
          </cell>
          <cell r="I108">
            <v>180</v>
          </cell>
          <cell r="J108">
            <v>23</v>
          </cell>
          <cell r="K108">
            <v>23</v>
          </cell>
        </row>
        <row r="109">
          <cell r="A109" t="str">
            <v>SI1642_20251030</v>
          </cell>
          <cell r="B109" t="str">
            <v>한창구</v>
          </cell>
          <cell r="C109">
            <v>45960</v>
          </cell>
          <cell r="D109" t="str">
            <v>헤라 시그니아 유스퍼밍 아이크림 소용량 5mL(26AD 내용기</v>
          </cell>
          <cell r="E109">
            <v>220</v>
          </cell>
          <cell r="F109">
            <v>205</v>
          </cell>
          <cell r="G109">
            <v>200</v>
          </cell>
          <cell r="H109">
            <v>190</v>
          </cell>
          <cell r="I109">
            <v>185</v>
          </cell>
          <cell r="J109">
            <v>23</v>
          </cell>
          <cell r="K109">
            <v>23</v>
          </cell>
        </row>
        <row r="110">
          <cell r="A110" t="str">
            <v>SI1654_20251029</v>
          </cell>
          <cell r="B110" t="str">
            <v/>
          </cell>
          <cell r="C110" t="str">
            <v/>
          </cell>
          <cell r="D110" t="str">
            <v/>
          </cell>
          <cell r="E110">
            <v>210</v>
          </cell>
          <cell r="F110">
            <v>190</v>
          </cell>
          <cell r="G110">
            <v>190</v>
          </cell>
          <cell r="H110">
            <v>185</v>
          </cell>
          <cell r="I110">
            <v>180</v>
          </cell>
          <cell r="J110">
            <v>23</v>
          </cell>
          <cell r="K110">
            <v>23</v>
          </cell>
        </row>
        <row r="111">
          <cell r="A111" t="str">
            <v>SI1653_20251029</v>
          </cell>
          <cell r="B111" t="str">
            <v>한창구</v>
          </cell>
          <cell r="C111">
            <v>45959</v>
          </cell>
          <cell r="D111" t="str">
            <v>홀리추얼 울트라 너리싱 아이크림 30ML 중캡</v>
          </cell>
          <cell r="E111">
            <v>220</v>
          </cell>
          <cell r="F111">
            <v>210</v>
          </cell>
          <cell r="G111">
            <v>210</v>
          </cell>
          <cell r="H111">
            <v>210</v>
          </cell>
          <cell r="I111">
            <v>200</v>
          </cell>
        </row>
        <row r="112">
          <cell r="A112" t="str">
            <v>SI1638_20251027</v>
          </cell>
          <cell r="B112" t="str">
            <v>장세래</v>
          </cell>
          <cell r="C112">
            <v>45957</v>
          </cell>
          <cell r="D112" t="str">
            <v>헤라 시그니아 바이탈리프팅크림 소용량 15ml 26AD 내용기</v>
          </cell>
          <cell r="E112">
            <v>210</v>
          </cell>
          <cell r="F112">
            <v>190</v>
          </cell>
          <cell r="G112">
            <v>190</v>
          </cell>
          <cell r="H112">
            <v>190</v>
          </cell>
          <cell r="I112">
            <v>190</v>
          </cell>
          <cell r="J112">
            <v>23</v>
          </cell>
          <cell r="K112">
            <v>23</v>
          </cell>
        </row>
        <row r="113">
          <cell r="A113" t="str">
            <v>SI1642_20251023</v>
          </cell>
          <cell r="B113" t="str">
            <v>유재호</v>
          </cell>
          <cell r="C113">
            <v>45953</v>
          </cell>
          <cell r="D113" t="str">
            <v>헤라 시그니아 유스퍼밍 아이크림 소용량 5mL(26AD 내용기</v>
          </cell>
          <cell r="E113">
            <v>210</v>
          </cell>
          <cell r="F113">
            <v>190</v>
          </cell>
          <cell r="G113">
            <v>190</v>
          </cell>
          <cell r="H113">
            <v>185</v>
          </cell>
          <cell r="I113">
            <v>180</v>
          </cell>
          <cell r="J113">
            <v>23</v>
          </cell>
          <cell r="K113">
            <v>23</v>
          </cell>
        </row>
        <row r="114">
          <cell r="A114" t="str">
            <v>SI1641_20251023</v>
          </cell>
          <cell r="B114" t="str">
            <v>유재호</v>
          </cell>
          <cell r="C114">
            <v>45953</v>
          </cell>
          <cell r="D114" t="str">
            <v>헤라 시그니아 유스퍼밍 아이크림 소용량 5mL(26AD 캡</v>
          </cell>
          <cell r="E114">
            <v>210</v>
          </cell>
          <cell r="F114">
            <v>190</v>
          </cell>
          <cell r="G114">
            <v>190</v>
          </cell>
          <cell r="H114">
            <v>185</v>
          </cell>
          <cell r="I114">
            <v>180</v>
          </cell>
          <cell r="J114">
            <v>23</v>
          </cell>
          <cell r="K114">
            <v>23</v>
          </cell>
          <cell r="L114" t="str">
            <v>코아 전 5.4 / 후 4.8</v>
          </cell>
        </row>
        <row r="115">
          <cell r="A115" t="str">
            <v>SI1652_20251020</v>
          </cell>
          <cell r="B115" t="str">
            <v>장세래</v>
          </cell>
          <cell r="C115">
            <v>45950</v>
          </cell>
          <cell r="D115" t="str">
            <v>홀리추얼 울트라 너리싱 아이크림 30ML 외캡</v>
          </cell>
          <cell r="E115">
            <v>220</v>
          </cell>
          <cell r="F115">
            <v>210</v>
          </cell>
          <cell r="G115">
            <v>210</v>
          </cell>
          <cell r="H115">
            <v>210</v>
          </cell>
          <cell r="I115">
            <v>200</v>
          </cell>
          <cell r="J115">
            <v>23</v>
          </cell>
          <cell r="K115">
            <v>23</v>
          </cell>
          <cell r="L115" t="str">
            <v>NO3, NO6 50℃ 나머지 반장금</v>
          </cell>
        </row>
        <row r="116">
          <cell r="A116" t="str">
            <v>SI1655_20251016</v>
          </cell>
          <cell r="B116" t="str">
            <v>유재호</v>
          </cell>
          <cell r="C116">
            <v>45946</v>
          </cell>
          <cell r="D116" t="str">
            <v>홀리추얼 울트라 너리싱 크림 80ML 외캡 사출</v>
          </cell>
          <cell r="E116">
            <v>230</v>
          </cell>
          <cell r="F116">
            <v>215</v>
          </cell>
          <cell r="G116">
            <v>215</v>
          </cell>
          <cell r="H116">
            <v>215</v>
          </cell>
          <cell r="I116">
            <v>200</v>
          </cell>
          <cell r="J116">
            <v>23</v>
          </cell>
          <cell r="K116">
            <v>50</v>
          </cell>
        </row>
        <row r="117">
          <cell r="A117" t="str">
            <v>SI1640_20251014</v>
          </cell>
          <cell r="B117" t="str">
            <v>장세래</v>
          </cell>
          <cell r="C117">
            <v>45944</v>
          </cell>
          <cell r="D117" t="str">
            <v>헤라 시그니아 바이탈리프팅크림 소용량 15ml 26AD 내캡</v>
          </cell>
          <cell r="E117">
            <v>200</v>
          </cell>
          <cell r="F117">
            <v>190</v>
          </cell>
          <cell r="G117">
            <v>190</v>
          </cell>
          <cell r="H117">
            <v>190</v>
          </cell>
          <cell r="I117">
            <v>190</v>
          </cell>
          <cell r="J117">
            <v>23</v>
          </cell>
          <cell r="K117">
            <v>23</v>
          </cell>
        </row>
        <row r="118">
          <cell r="A118" t="str">
            <v>SI1638_20251014</v>
          </cell>
          <cell r="B118" t="str">
            <v>유재호</v>
          </cell>
          <cell r="C118">
            <v>45944</v>
          </cell>
          <cell r="D118" t="str">
            <v>헤라 시그니아 바이탈리프팅크림 소용량 15ml 26AD 내용기</v>
          </cell>
          <cell r="E118">
            <v>210</v>
          </cell>
          <cell r="F118">
            <v>190</v>
          </cell>
          <cell r="G118">
            <v>185</v>
          </cell>
          <cell r="H118">
            <v>185</v>
          </cell>
          <cell r="I118">
            <v>180</v>
          </cell>
          <cell r="J118">
            <v>23</v>
          </cell>
          <cell r="K118">
            <v>23</v>
          </cell>
        </row>
        <row r="119">
          <cell r="A119" t="str">
            <v>SI1654_20251014</v>
          </cell>
          <cell r="B119" t="str">
            <v>유재호</v>
          </cell>
          <cell r="C119">
            <v>45944</v>
          </cell>
          <cell r="D119" t="str">
            <v>홀리추얼 울트라 너리싱 아이크림 30ML 내캡</v>
          </cell>
          <cell r="E119">
            <v>210</v>
          </cell>
          <cell r="F119">
            <v>190</v>
          </cell>
          <cell r="G119">
            <v>185</v>
          </cell>
          <cell r="H119">
            <v>185</v>
          </cell>
          <cell r="I119">
            <v>180</v>
          </cell>
          <cell r="J119">
            <v>23</v>
          </cell>
          <cell r="K119">
            <v>23</v>
          </cell>
        </row>
        <row r="120">
          <cell r="A120" t="str">
            <v>SI1642_20250930</v>
          </cell>
          <cell r="B120" t="str">
            <v>장세래</v>
          </cell>
          <cell r="C120">
            <v>45930</v>
          </cell>
          <cell r="D120" t="str">
            <v>헤라 시그니아 유스퍼밍 아이크림 소용량 5mL(26AD 내용기</v>
          </cell>
          <cell r="E120">
            <v>220</v>
          </cell>
          <cell r="F120">
            <v>190</v>
          </cell>
          <cell r="G120">
            <v>190</v>
          </cell>
          <cell r="H120">
            <v>190</v>
          </cell>
          <cell r="I120">
            <v>185</v>
          </cell>
          <cell r="J120">
            <v>23</v>
          </cell>
          <cell r="K120">
            <v>23</v>
          </cell>
        </row>
        <row r="121">
          <cell r="A121" t="str">
            <v>SI1638_20250930</v>
          </cell>
          <cell r="B121" t="str">
            <v>장세래</v>
          </cell>
          <cell r="C121">
            <v>45930</v>
          </cell>
          <cell r="D121" t="str">
            <v>헤라 시그니아 바이탈리프팅크림 소용량 15ml 26AD 내용기</v>
          </cell>
          <cell r="E121">
            <v>220</v>
          </cell>
          <cell r="F121">
            <v>190</v>
          </cell>
          <cell r="G121">
            <v>190</v>
          </cell>
          <cell r="H121">
            <v>190</v>
          </cell>
          <cell r="I121">
            <v>185</v>
          </cell>
          <cell r="J121">
            <v>23</v>
          </cell>
          <cell r="K121">
            <v>23</v>
          </cell>
        </row>
        <row r="122">
          <cell r="A122" t="str">
            <v>SI1620_20250929</v>
          </cell>
          <cell r="B122" t="str">
            <v>장세래</v>
          </cell>
          <cell r="C122">
            <v>45929</v>
          </cell>
          <cell r="D122" t="str">
            <v>설화수 진설명작크림 60ML (26AD 용기받침 사출</v>
          </cell>
          <cell r="E122">
            <v>230</v>
          </cell>
          <cell r="F122">
            <v>220</v>
          </cell>
          <cell r="G122">
            <v>210</v>
          </cell>
          <cell r="H122">
            <v>210</v>
          </cell>
          <cell r="I122">
            <v>200</v>
          </cell>
          <cell r="J122">
            <v>23</v>
          </cell>
          <cell r="K122">
            <v>23</v>
          </cell>
          <cell r="U122" t="str">
            <v>3번판 온수55</v>
          </cell>
        </row>
        <row r="123">
          <cell r="A123" t="str">
            <v>SI1653_20251003</v>
          </cell>
          <cell r="B123" t="str">
            <v>유재호</v>
          </cell>
          <cell r="C123">
            <v>45933</v>
          </cell>
          <cell r="D123" t="str">
            <v>홀리추얼 울트라 너리싱 아이크림 30ML 중캡</v>
          </cell>
          <cell r="E123">
            <v>230</v>
          </cell>
          <cell r="F123">
            <v>210</v>
          </cell>
          <cell r="G123">
            <v>210</v>
          </cell>
          <cell r="H123">
            <v>210</v>
          </cell>
          <cell r="I123">
            <v>200</v>
          </cell>
          <cell r="J123">
            <v>23</v>
          </cell>
          <cell r="K123">
            <v>23</v>
          </cell>
        </row>
        <row r="124">
          <cell r="A124" t="str">
            <v>SI1652_20251003</v>
          </cell>
          <cell r="B124" t="str">
            <v>유재호</v>
          </cell>
          <cell r="C124">
            <v>45933</v>
          </cell>
          <cell r="D124" t="str">
            <v>홀리추얼 울트라 너리싱 아이크림 30ML 외캡</v>
          </cell>
          <cell r="E124">
            <v>230</v>
          </cell>
          <cell r="F124">
            <v>210</v>
          </cell>
          <cell r="G124">
            <v>210</v>
          </cell>
          <cell r="H124">
            <v>210</v>
          </cell>
          <cell r="I124">
            <v>200</v>
          </cell>
          <cell r="J124">
            <v>23</v>
          </cell>
          <cell r="K124">
            <v>50</v>
          </cell>
        </row>
        <row r="125">
          <cell r="A125" t="str">
            <v>SI1637_20251001</v>
          </cell>
          <cell r="B125" t="str">
            <v>장세래</v>
          </cell>
          <cell r="C125">
            <v>45931</v>
          </cell>
          <cell r="D125" t="str">
            <v>헤라 시그니아 바이탈리프팅크림 소용량 15ml 26AD 외용기</v>
          </cell>
          <cell r="E125">
            <v>225</v>
          </cell>
          <cell r="F125">
            <v>220</v>
          </cell>
          <cell r="G125">
            <v>220</v>
          </cell>
          <cell r="H125">
            <v>220</v>
          </cell>
          <cell r="I125">
            <v>210</v>
          </cell>
          <cell r="J125">
            <v>60</v>
          </cell>
          <cell r="K125">
            <v>50</v>
          </cell>
          <cell r="M125" t="str">
            <v>1~4</v>
          </cell>
          <cell r="N125" t="str">
            <v>5~9</v>
          </cell>
          <cell r="Q125">
            <v>200</v>
          </cell>
          <cell r="R125">
            <v>220</v>
          </cell>
        </row>
        <row r="126">
          <cell r="A126" t="str">
            <v>SI1643_20251001</v>
          </cell>
          <cell r="B126" t="str">
            <v>장세래</v>
          </cell>
          <cell r="C126">
            <v>45931</v>
          </cell>
          <cell r="D126" t="str">
            <v>헤라 시그니아 유스퍼밍 아이크림 소용량 5mL(26AD 외용기</v>
          </cell>
          <cell r="E126">
            <v>225</v>
          </cell>
          <cell r="F126">
            <v>220</v>
          </cell>
          <cell r="G126">
            <v>220</v>
          </cell>
          <cell r="H126">
            <v>220</v>
          </cell>
          <cell r="I126">
            <v>210</v>
          </cell>
          <cell r="J126">
            <v>60</v>
          </cell>
          <cell r="K126">
            <v>50</v>
          </cell>
          <cell r="M126" t="str">
            <v>1~4</v>
          </cell>
          <cell r="N126" t="str">
            <v>5~9</v>
          </cell>
          <cell r="Q126">
            <v>200</v>
          </cell>
          <cell r="R126">
            <v>220</v>
          </cell>
        </row>
        <row r="127">
          <cell r="A127" t="str">
            <v>SI1629_20250926</v>
          </cell>
          <cell r="B127" t="str">
            <v>유재호</v>
          </cell>
          <cell r="C127">
            <v>45926</v>
          </cell>
          <cell r="D127" t="str">
            <v>설화수 진설명작크림 (견) 10ML (AD 사출덮개</v>
          </cell>
          <cell r="E127">
            <v>240</v>
          </cell>
          <cell r="F127">
            <v>230</v>
          </cell>
          <cell r="G127">
            <v>230</v>
          </cell>
          <cell r="H127">
            <v>225</v>
          </cell>
          <cell r="I127">
            <v>220</v>
          </cell>
          <cell r="J127">
            <v>23</v>
          </cell>
          <cell r="K127">
            <v>23</v>
          </cell>
        </row>
        <row r="128">
          <cell r="A128" t="str">
            <v>SI1634_20250926</v>
          </cell>
          <cell r="B128" t="str">
            <v>유재호</v>
          </cell>
          <cell r="C128">
            <v>45926</v>
          </cell>
          <cell r="D128" t="str">
            <v>설화수 진설명작크림 (견) 5ML (AD 사출덮개</v>
          </cell>
          <cell r="E128">
            <v>240</v>
          </cell>
          <cell r="F128">
            <v>230</v>
          </cell>
          <cell r="G128">
            <v>230</v>
          </cell>
          <cell r="H128">
            <v>225</v>
          </cell>
          <cell r="I128">
            <v>220</v>
          </cell>
          <cell r="J128">
            <v>23</v>
          </cell>
          <cell r="K128">
            <v>23</v>
          </cell>
        </row>
        <row r="129">
          <cell r="A129" t="str">
            <v>SI1641_20250925</v>
          </cell>
          <cell r="B129" t="str">
            <v>유재호</v>
          </cell>
          <cell r="C129">
            <v>45925</v>
          </cell>
          <cell r="D129" t="str">
            <v>헤라 시그니아 유스퍼밍 아이크림 소용량 5mL(26AD 캡</v>
          </cell>
          <cell r="E129">
            <v>210</v>
          </cell>
          <cell r="F129">
            <v>180</v>
          </cell>
          <cell r="G129">
            <v>180</v>
          </cell>
          <cell r="H129">
            <v>180</v>
          </cell>
          <cell r="I129">
            <v>180</v>
          </cell>
          <cell r="J129">
            <v>23</v>
          </cell>
          <cell r="K129">
            <v>23</v>
          </cell>
          <cell r="L129" t="str">
            <v>코아 전진 5.3  후진 4.8</v>
          </cell>
        </row>
        <row r="130">
          <cell r="A130" t="str">
            <v>SI1640_20250923</v>
          </cell>
          <cell r="B130" t="str">
            <v>장세래</v>
          </cell>
          <cell r="C130">
            <v>45923</v>
          </cell>
          <cell r="D130" t="str">
            <v>헤라 시그니아 바이탈리프팅크림 소용량 15ml 26AD 내캡</v>
          </cell>
          <cell r="E130">
            <v>200</v>
          </cell>
          <cell r="F130">
            <v>190</v>
          </cell>
          <cell r="G130">
            <v>190</v>
          </cell>
          <cell r="H130">
            <v>190</v>
          </cell>
          <cell r="I130">
            <v>180</v>
          </cell>
          <cell r="J130">
            <v>23</v>
          </cell>
          <cell r="K130">
            <v>23</v>
          </cell>
        </row>
        <row r="131">
          <cell r="A131" t="str">
            <v>SI1637_20250923</v>
          </cell>
          <cell r="B131" t="str">
            <v>민병태</v>
          </cell>
          <cell r="C131">
            <v>45923</v>
          </cell>
          <cell r="D131" t="str">
            <v>헤라 시그니아 바이탈리프팅크림 소용량 15ml 26AD 외용기</v>
          </cell>
          <cell r="F131">
            <v>220</v>
          </cell>
          <cell r="G131">
            <v>220</v>
          </cell>
          <cell r="H131">
            <v>220</v>
          </cell>
          <cell r="I131">
            <v>210</v>
          </cell>
          <cell r="J131">
            <v>60</v>
          </cell>
          <cell r="K131">
            <v>65</v>
          </cell>
          <cell r="M131" t="str">
            <v>(HOT) 1</v>
          </cell>
          <cell r="N131" t="str">
            <v>(HOT) 5</v>
          </cell>
          <cell r="Q131">
            <v>220</v>
          </cell>
          <cell r="R131">
            <v>230</v>
          </cell>
        </row>
        <row r="132">
          <cell r="A132" t="str">
            <v>SI1643_20250923</v>
          </cell>
          <cell r="B132" t="str">
            <v>민병태</v>
          </cell>
          <cell r="C132">
            <v>45923</v>
          </cell>
          <cell r="D132" t="str">
            <v>헤라 시그니아 유스퍼밍 아이크림 소용량 5mL(26AD 외용기</v>
          </cell>
          <cell r="E132">
            <v>225</v>
          </cell>
          <cell r="F132">
            <v>220</v>
          </cell>
          <cell r="G132">
            <v>220</v>
          </cell>
          <cell r="H132">
            <v>220</v>
          </cell>
          <cell r="I132">
            <v>210</v>
          </cell>
          <cell r="J132">
            <v>60</v>
          </cell>
          <cell r="K132">
            <v>50</v>
          </cell>
          <cell r="M132" t="str">
            <v>1~4</v>
          </cell>
          <cell r="N132" t="str">
            <v>5~9</v>
          </cell>
          <cell r="Q132">
            <v>220</v>
          </cell>
          <cell r="R132">
            <v>230</v>
          </cell>
        </row>
        <row r="133">
          <cell r="A133" t="str">
            <v>SI1642_20250915</v>
          </cell>
          <cell r="B133" t="str">
            <v>장세래</v>
          </cell>
          <cell r="C133">
            <v>45915</v>
          </cell>
          <cell r="D133" t="str">
            <v>헤라 시그니아 유스퍼밍 아이크림 소용량 5mL(26AD 내용기</v>
          </cell>
          <cell r="E133">
            <v>200</v>
          </cell>
          <cell r="F133">
            <v>185</v>
          </cell>
          <cell r="G133">
            <v>185</v>
          </cell>
          <cell r="H133">
            <v>185</v>
          </cell>
          <cell r="I133">
            <v>185</v>
          </cell>
          <cell r="J133">
            <v>23</v>
          </cell>
          <cell r="K133">
            <v>23</v>
          </cell>
        </row>
        <row r="134">
          <cell r="A134" t="str">
            <v>SI1638_20250915</v>
          </cell>
          <cell r="B134" t="str">
            <v>장세래</v>
          </cell>
          <cell r="C134">
            <v>45915</v>
          </cell>
          <cell r="D134" t="str">
            <v>헤라 시그니아 바이탈리프팅크림 소용량 15ml 26AD 내용기</v>
          </cell>
          <cell r="E134">
            <v>200</v>
          </cell>
          <cell r="F134">
            <v>185</v>
          </cell>
          <cell r="G134">
            <v>185</v>
          </cell>
          <cell r="H134">
            <v>185</v>
          </cell>
          <cell r="I134">
            <v>185</v>
          </cell>
          <cell r="J134">
            <v>23</v>
          </cell>
          <cell r="K134">
            <v>23</v>
          </cell>
        </row>
        <row r="135">
          <cell r="A135" t="str">
            <v>SI1643_20250913</v>
          </cell>
          <cell r="B135" t="str">
            <v>장세래</v>
          </cell>
          <cell r="C135">
            <v>45913</v>
          </cell>
          <cell r="D135" t="str">
            <v>헤라 시그니아 유스퍼밍 아이크림 소용량 5mL(26AD 외용기</v>
          </cell>
          <cell r="E135">
            <v>225</v>
          </cell>
          <cell r="F135">
            <v>220</v>
          </cell>
          <cell r="G135">
            <v>220</v>
          </cell>
          <cell r="H135">
            <v>220</v>
          </cell>
          <cell r="I135">
            <v>200</v>
          </cell>
          <cell r="J135">
            <v>60</v>
          </cell>
          <cell r="K135">
            <v>50</v>
          </cell>
          <cell r="M135" t="str">
            <v>1~4</v>
          </cell>
          <cell r="N135" t="str">
            <v>5~9</v>
          </cell>
          <cell r="Q135">
            <v>220</v>
          </cell>
          <cell r="R135">
            <v>230</v>
          </cell>
        </row>
        <row r="136">
          <cell r="A136" t="str">
            <v>SI1637_20250913</v>
          </cell>
          <cell r="B136" t="str">
            <v>장세래</v>
          </cell>
          <cell r="C136">
            <v>45913</v>
          </cell>
          <cell r="D136" t="str">
            <v>헤라 시그니아 바이탈리프팅크림 소용량 15ml 26AD 외용기</v>
          </cell>
          <cell r="E136">
            <v>225</v>
          </cell>
          <cell r="F136">
            <v>220</v>
          </cell>
          <cell r="G136">
            <v>220</v>
          </cell>
          <cell r="H136">
            <v>220</v>
          </cell>
          <cell r="I136">
            <v>200</v>
          </cell>
          <cell r="J136">
            <v>70</v>
          </cell>
          <cell r="K136">
            <v>50</v>
          </cell>
          <cell r="M136" t="str">
            <v>1~4</v>
          </cell>
          <cell r="N136" t="str">
            <v>5~9</v>
          </cell>
          <cell r="Q136">
            <v>240</v>
          </cell>
          <cell r="R136">
            <v>230</v>
          </cell>
        </row>
        <row r="137">
          <cell r="A137" t="str">
            <v>SI1632_20250911</v>
          </cell>
          <cell r="B137">
            <v>0</v>
          </cell>
          <cell r="C137">
            <v>45911</v>
          </cell>
          <cell r="D137" t="str">
            <v>설화수 진설명작크림 (견) 5ML (AD 단용기</v>
          </cell>
          <cell r="E137">
            <v>210</v>
          </cell>
          <cell r="F137">
            <v>190</v>
          </cell>
          <cell r="G137">
            <v>185</v>
          </cell>
          <cell r="H137">
            <v>185</v>
          </cell>
          <cell r="I137">
            <v>180</v>
          </cell>
          <cell r="J137">
            <v>23</v>
          </cell>
          <cell r="K137">
            <v>23</v>
          </cell>
        </row>
        <row r="138">
          <cell r="A138" t="str">
            <v>SI1628_20250911</v>
          </cell>
          <cell r="B138">
            <v>0</v>
          </cell>
          <cell r="C138">
            <v>45911</v>
          </cell>
          <cell r="D138" t="str">
            <v>설화수 진설명작크림 (견) 10ML (AD 단용기</v>
          </cell>
          <cell r="E138">
            <v>210</v>
          </cell>
          <cell r="F138">
            <v>190</v>
          </cell>
          <cell r="G138">
            <v>185</v>
          </cell>
          <cell r="H138">
            <v>185</v>
          </cell>
          <cell r="I138">
            <v>190</v>
          </cell>
          <cell r="J138">
            <v>23</v>
          </cell>
          <cell r="K138">
            <v>23</v>
          </cell>
        </row>
        <row r="139">
          <cell r="A139" t="str">
            <v>SI1619_20250911</v>
          </cell>
          <cell r="B139" t="str">
            <v>유재호</v>
          </cell>
          <cell r="C139">
            <v>45911</v>
          </cell>
          <cell r="D139" t="str">
            <v>설화수 진설명작크림 60ML (26AD 외용기</v>
          </cell>
          <cell r="E139">
            <v>230</v>
          </cell>
          <cell r="F139">
            <v>230</v>
          </cell>
          <cell r="G139">
            <v>230</v>
          </cell>
          <cell r="H139">
            <v>225</v>
          </cell>
          <cell r="I139">
            <v>220</v>
          </cell>
          <cell r="J139">
            <v>23</v>
          </cell>
          <cell r="K139">
            <v>23</v>
          </cell>
          <cell r="L139" t="str">
            <v>3번판 상축 45 슬라이드 45 6번판 45</v>
          </cell>
        </row>
        <row r="140">
          <cell r="A140" t="str">
            <v>SI1618_20250911</v>
          </cell>
          <cell r="B140" t="str">
            <v>유재호</v>
          </cell>
          <cell r="C140">
            <v>45911</v>
          </cell>
          <cell r="D140" t="str">
            <v>설화수 진설명작크림 60ML (26AD 내용기</v>
          </cell>
          <cell r="E140">
            <v>210</v>
          </cell>
          <cell r="F140">
            <v>190</v>
          </cell>
          <cell r="G140">
            <v>185</v>
          </cell>
          <cell r="H140">
            <v>185</v>
          </cell>
          <cell r="I140">
            <v>180</v>
          </cell>
          <cell r="J140">
            <v>23</v>
          </cell>
          <cell r="K140">
            <v>23</v>
          </cell>
        </row>
        <row r="141">
          <cell r="A141" t="str">
            <v>SI1614_20250911</v>
          </cell>
          <cell r="B141" t="str">
            <v>유재호</v>
          </cell>
          <cell r="C141">
            <v>45911</v>
          </cell>
          <cell r="D141" t="str">
            <v>설화수 진설명작크림 60ML (26AD 내캡</v>
          </cell>
          <cell r="E141">
            <v>210</v>
          </cell>
          <cell r="F141">
            <v>190</v>
          </cell>
          <cell r="G141">
            <v>190</v>
          </cell>
          <cell r="H141">
            <v>185</v>
          </cell>
          <cell r="I141">
            <v>180</v>
          </cell>
          <cell r="J141">
            <v>23</v>
          </cell>
          <cell r="K141">
            <v>23</v>
          </cell>
        </row>
        <row r="142">
          <cell r="A142" t="str">
            <v>SI1641_20250903</v>
          </cell>
          <cell r="B142" t="str">
            <v>유재호</v>
          </cell>
          <cell r="C142">
            <v>45903</v>
          </cell>
          <cell r="D142" t="str">
            <v>헤라 시그니아 유스퍼밍 아이크림 소용량 5mL(26AD 캡</v>
          </cell>
          <cell r="E142">
            <v>220</v>
          </cell>
          <cell r="F142">
            <v>190</v>
          </cell>
          <cell r="G142">
            <v>190</v>
          </cell>
          <cell r="H142">
            <v>190</v>
          </cell>
          <cell r="I142">
            <v>185</v>
          </cell>
          <cell r="J142">
            <v>23</v>
          </cell>
          <cell r="K142">
            <v>23</v>
          </cell>
        </row>
        <row r="143">
          <cell r="A143" t="str">
            <v>SI1640_20250903</v>
          </cell>
          <cell r="B143" t="str">
            <v>유재호</v>
          </cell>
          <cell r="C143">
            <v>45903</v>
          </cell>
          <cell r="D143" t="str">
            <v>헤라 시그니아 바이탈리프팅크림 소용량 15ml 26AD 내캡</v>
          </cell>
          <cell r="E143">
            <v>220</v>
          </cell>
          <cell r="F143">
            <v>190</v>
          </cell>
          <cell r="G143">
            <v>190</v>
          </cell>
          <cell r="H143">
            <v>10</v>
          </cell>
          <cell r="I143">
            <v>185</v>
          </cell>
          <cell r="J143">
            <v>23</v>
          </cell>
          <cell r="K143">
            <v>23</v>
          </cell>
        </row>
        <row r="144">
          <cell r="A144" t="str">
            <v>SI1642_20250902</v>
          </cell>
          <cell r="B144" t="str">
            <v>유재호</v>
          </cell>
          <cell r="C144">
            <v>45902</v>
          </cell>
          <cell r="D144" t="str">
            <v>헤라 시그니아 유스퍼밍 아이크림 소용량 5mL(26AD 내용기</v>
          </cell>
          <cell r="E144">
            <v>220</v>
          </cell>
          <cell r="F144">
            <v>185</v>
          </cell>
          <cell r="G144">
            <v>185</v>
          </cell>
          <cell r="H144">
            <v>185</v>
          </cell>
          <cell r="I144">
            <v>180</v>
          </cell>
          <cell r="J144">
            <v>24</v>
          </cell>
          <cell r="K144">
            <v>24</v>
          </cell>
        </row>
        <row r="145">
          <cell r="A145" t="str">
            <v>SI1638_20250902</v>
          </cell>
          <cell r="B145" t="str">
            <v>유재호</v>
          </cell>
          <cell r="C145">
            <v>45902</v>
          </cell>
          <cell r="D145" t="str">
            <v>헤라 시그니아 바이탈리프팅크림 소용량 15ml 26AD 내용기</v>
          </cell>
          <cell r="E145">
            <v>220</v>
          </cell>
          <cell r="F145">
            <v>185</v>
          </cell>
          <cell r="G145">
            <v>185</v>
          </cell>
          <cell r="H145">
            <v>185</v>
          </cell>
          <cell r="I145">
            <v>180</v>
          </cell>
          <cell r="J145">
            <v>24</v>
          </cell>
          <cell r="K145">
            <v>24</v>
          </cell>
        </row>
        <row r="146">
          <cell r="A146" t="str">
            <v>SI1643_20250828</v>
          </cell>
          <cell r="B146" t="str">
            <v>장세래</v>
          </cell>
          <cell r="C146">
            <v>45897</v>
          </cell>
          <cell r="D146" t="str">
            <v>헤라 시그니아 유스퍼밍 아이크림 소용량 5mL(26AD 외용기</v>
          </cell>
          <cell r="E146">
            <v>225</v>
          </cell>
          <cell r="F146">
            <v>220</v>
          </cell>
          <cell r="G146">
            <v>220</v>
          </cell>
          <cell r="H146">
            <v>220</v>
          </cell>
          <cell r="I146">
            <v>220</v>
          </cell>
          <cell r="J146">
            <v>50</v>
          </cell>
          <cell r="K146">
            <v>65</v>
          </cell>
          <cell r="M146">
            <v>220</v>
          </cell>
          <cell r="N146">
            <v>220</v>
          </cell>
          <cell r="O146">
            <v>220</v>
          </cell>
          <cell r="P146">
            <v>220</v>
          </cell>
        </row>
        <row r="147">
          <cell r="A147" t="str">
            <v>SI1637_20250828</v>
          </cell>
          <cell r="B147" t="str">
            <v>장세래</v>
          </cell>
          <cell r="C147">
            <v>45897</v>
          </cell>
          <cell r="D147" t="str">
            <v>헤라 시그니아 바이탈리프팅크림 소용량 15ml 26AD 외용기</v>
          </cell>
          <cell r="E147">
            <v>225</v>
          </cell>
          <cell r="F147">
            <v>220</v>
          </cell>
          <cell r="G147">
            <v>220</v>
          </cell>
          <cell r="H147">
            <v>220</v>
          </cell>
          <cell r="I147">
            <v>210</v>
          </cell>
          <cell r="J147">
            <v>50</v>
          </cell>
          <cell r="K147">
            <v>60</v>
          </cell>
          <cell r="M147">
            <v>180</v>
          </cell>
          <cell r="N147">
            <v>180</v>
          </cell>
          <cell r="O147">
            <v>180</v>
          </cell>
          <cell r="P147">
            <v>180</v>
          </cell>
          <cell r="Q147">
            <v>220</v>
          </cell>
          <cell r="R147">
            <v>220</v>
          </cell>
          <cell r="S147">
            <v>220</v>
          </cell>
          <cell r="T147">
            <v>220</v>
          </cell>
        </row>
        <row r="148">
          <cell r="A148" t="str">
            <v>SI1628_20250812</v>
          </cell>
          <cell r="B148" t="str">
            <v>한창구</v>
          </cell>
          <cell r="C148">
            <v>45896</v>
          </cell>
          <cell r="D148" t="str">
            <v>설화수 진설명작크림 (견) 10ML (AD 단용기</v>
          </cell>
          <cell r="E148">
            <v>225</v>
          </cell>
          <cell r="F148">
            <v>220</v>
          </cell>
          <cell r="G148">
            <v>220</v>
          </cell>
          <cell r="H148">
            <v>220</v>
          </cell>
          <cell r="I148">
            <v>210</v>
          </cell>
          <cell r="J148">
            <v>50</v>
          </cell>
          <cell r="K148">
            <v>60</v>
          </cell>
          <cell r="M148">
            <v>180</v>
          </cell>
          <cell r="N148">
            <v>180</v>
          </cell>
          <cell r="O148">
            <v>180</v>
          </cell>
          <cell r="P148">
            <v>180</v>
          </cell>
          <cell r="Q148">
            <v>220</v>
          </cell>
          <cell r="R148">
            <v>220</v>
          </cell>
          <cell r="S148">
            <v>220</v>
          </cell>
          <cell r="T148">
            <v>220</v>
          </cell>
        </row>
        <row r="149">
          <cell r="A149" t="str">
            <v>SI1628_20250812</v>
          </cell>
          <cell r="B149" t="str">
            <v>한창구</v>
          </cell>
          <cell r="C149">
            <v>45896</v>
          </cell>
          <cell r="D149" t="str">
            <v>설화수 진설명작크림 (견) 10ML (AD 단용기</v>
          </cell>
          <cell r="E149">
            <v>210</v>
          </cell>
          <cell r="F149">
            <v>190</v>
          </cell>
          <cell r="G149">
            <v>190</v>
          </cell>
          <cell r="H149">
            <v>190</v>
          </cell>
          <cell r="I149">
            <v>180</v>
          </cell>
          <cell r="J149">
            <v>24</v>
          </cell>
          <cell r="K149">
            <v>24</v>
          </cell>
        </row>
        <row r="150">
          <cell r="A150" t="str">
            <v>SI1632_20250812</v>
          </cell>
          <cell r="B150" t="str">
            <v>한창구</v>
          </cell>
          <cell r="C150">
            <v>45896</v>
          </cell>
          <cell r="D150" t="str">
            <v>설화수 진설명작크림 (견) 5ML (AD 단용기</v>
          </cell>
          <cell r="E150">
            <v>210</v>
          </cell>
          <cell r="F150">
            <v>190</v>
          </cell>
          <cell r="G150">
            <v>190</v>
          </cell>
          <cell r="H150">
            <v>190</v>
          </cell>
          <cell r="I150">
            <v>180</v>
          </cell>
          <cell r="J150">
            <v>24</v>
          </cell>
          <cell r="K150">
            <v>24</v>
          </cell>
        </row>
        <row r="151">
          <cell r="A151" t="str">
            <v>SI1627_20250812</v>
          </cell>
          <cell r="B151" t="str">
            <v>장세래</v>
          </cell>
          <cell r="C151">
            <v>45895</v>
          </cell>
          <cell r="D151" t="str">
            <v>설화수 진설명작크림 (견) 10ML (AD 용기받침</v>
          </cell>
          <cell r="E151">
            <v>230</v>
          </cell>
          <cell r="F151">
            <v>210</v>
          </cell>
          <cell r="G151">
            <v>210</v>
          </cell>
          <cell r="H151">
            <v>210</v>
          </cell>
          <cell r="I151">
            <v>200</v>
          </cell>
          <cell r="J151">
            <v>24</v>
          </cell>
          <cell r="K151">
            <v>45</v>
          </cell>
          <cell r="L151" t="str">
            <v>5,7판 온순</v>
          </cell>
        </row>
        <row r="152">
          <cell r="A152" t="str">
            <v>SI1633_20250812</v>
          </cell>
          <cell r="B152" t="str">
            <v>장세래</v>
          </cell>
          <cell r="C152">
            <v>45895</v>
          </cell>
          <cell r="D152" t="str">
            <v>설화수 진설명작크림 (견) 5ML (AD 용기받침</v>
          </cell>
          <cell r="E152">
            <v>220</v>
          </cell>
          <cell r="F152">
            <v>210</v>
          </cell>
          <cell r="G152">
            <v>210</v>
          </cell>
          <cell r="H152">
            <v>210</v>
          </cell>
          <cell r="I152">
            <v>200</v>
          </cell>
          <cell r="J152">
            <v>23</v>
          </cell>
          <cell r="K152">
            <v>45</v>
          </cell>
          <cell r="L152" t="str">
            <v>5,8번판 온수</v>
          </cell>
        </row>
        <row r="153">
          <cell r="A153" t="str">
            <v>SI1625_20250812</v>
          </cell>
          <cell r="B153" t="str">
            <v>장세래</v>
          </cell>
          <cell r="C153">
            <v>45894</v>
          </cell>
          <cell r="D153" t="str">
            <v>설화수 진설명작크림 (견) 10ML (AD 외캡</v>
          </cell>
          <cell r="E153">
            <v>230</v>
          </cell>
          <cell r="F153">
            <v>210</v>
          </cell>
          <cell r="G153">
            <v>210</v>
          </cell>
          <cell r="H153">
            <v>210</v>
          </cell>
          <cell r="I153">
            <v>200</v>
          </cell>
          <cell r="J153">
            <v>24</v>
          </cell>
          <cell r="K153">
            <v>45</v>
          </cell>
          <cell r="L153" t="str">
            <v>5,7번판 온수</v>
          </cell>
        </row>
        <row r="154">
          <cell r="A154" t="str">
            <v>SI1630_20250812</v>
          </cell>
          <cell r="B154" t="str">
            <v>장세래</v>
          </cell>
          <cell r="C154">
            <v>45894</v>
          </cell>
          <cell r="D154" t="str">
            <v>설화수 진설명작크림 (견) 5ML (AD 외캡</v>
          </cell>
          <cell r="E154">
            <v>220</v>
          </cell>
          <cell r="F154">
            <v>210</v>
          </cell>
          <cell r="G154">
            <v>210</v>
          </cell>
          <cell r="H154">
            <v>210</v>
          </cell>
          <cell r="I154">
            <v>200</v>
          </cell>
          <cell r="J154">
            <v>23</v>
          </cell>
          <cell r="K154">
            <v>45</v>
          </cell>
          <cell r="L154" t="str">
            <v>5,7번판 온수</v>
          </cell>
        </row>
        <row r="155">
          <cell r="A155" t="str">
            <v>SI1626_20250812</v>
          </cell>
          <cell r="B155" t="str">
            <v>한창구</v>
          </cell>
          <cell r="C155">
            <v>45895</v>
          </cell>
          <cell r="D155" t="str">
            <v>설화수 진설명작크림 (견) 10ML (AD 내캡</v>
          </cell>
        </row>
        <row r="156">
          <cell r="A156" t="str">
            <v>SI1631_20250812</v>
          </cell>
          <cell r="B156" t="str">
            <v>한창구</v>
          </cell>
          <cell r="C156">
            <v>45895</v>
          </cell>
          <cell r="D156" t="str">
            <v>설화수 진설명작크림 (견) 5ML (AD 내캡</v>
          </cell>
          <cell r="E156">
            <v>210</v>
          </cell>
          <cell r="F156">
            <v>190</v>
          </cell>
          <cell r="G156">
            <v>190</v>
          </cell>
          <cell r="H156">
            <v>190</v>
          </cell>
          <cell r="I156">
            <v>180</v>
          </cell>
          <cell r="J156">
            <v>24</v>
          </cell>
          <cell r="K156">
            <v>24</v>
          </cell>
        </row>
        <row r="157">
          <cell r="A157" t="str">
            <v>test</v>
          </cell>
          <cell r="B157" t="str">
            <v/>
          </cell>
          <cell r="C157" t="str">
            <v/>
          </cell>
          <cell r="D157" t="str">
            <v/>
          </cell>
        </row>
        <row r="158">
          <cell r="A158" t="str">
            <v>SI1634_20250822</v>
          </cell>
          <cell r="B158" t="str">
            <v>유재호</v>
          </cell>
          <cell r="C158">
            <v>45891</v>
          </cell>
          <cell r="D158" t="str">
            <v>설화수 진설명작크림 (견) 5ML (AD 사출덮개</v>
          </cell>
        </row>
        <row r="159">
          <cell r="A159" t="str">
            <v>SI1634_20250822</v>
          </cell>
          <cell r="B159" t="str">
            <v>유재호</v>
          </cell>
          <cell r="C159">
            <v>45891</v>
          </cell>
          <cell r="D159" t="str">
            <v>설화수 진설명작크림 (견) 5ML (AD 사출덮개</v>
          </cell>
        </row>
        <row r="160">
          <cell r="A160" t="str">
            <v>SI1614_20250812</v>
          </cell>
          <cell r="B160" t="str">
            <v>유재호</v>
          </cell>
          <cell r="C160">
            <v>45889</v>
          </cell>
          <cell r="D160" t="str">
            <v>설화수 진설명작크림 60ML (26AD 내캡</v>
          </cell>
          <cell r="E160">
            <v>220</v>
          </cell>
          <cell r="F160">
            <v>190</v>
          </cell>
          <cell r="G160">
            <v>185</v>
          </cell>
          <cell r="H160">
            <v>185</v>
          </cell>
          <cell r="I160">
            <v>180</v>
          </cell>
          <cell r="J160">
            <v>23</v>
          </cell>
          <cell r="K160">
            <v>23</v>
          </cell>
          <cell r="L160" t="str">
            <v>코아 전진 8초,코아 후진 9초</v>
          </cell>
        </row>
        <row r="161">
          <cell r="A161" t="str">
            <v>SI1623_20250812</v>
          </cell>
          <cell r="B161" t="str">
            <v>유재호</v>
          </cell>
          <cell r="C161">
            <v>45888</v>
          </cell>
          <cell r="D161" t="str">
            <v>설화수 진설명작크림 리필 60ML (26AD 단캡</v>
          </cell>
          <cell r="E161">
            <v>230</v>
          </cell>
          <cell r="F161">
            <v>230</v>
          </cell>
          <cell r="G161">
            <v>230</v>
          </cell>
          <cell r="H161">
            <v>225</v>
          </cell>
          <cell r="I161">
            <v>220</v>
          </cell>
          <cell r="J161" t="str">
            <v>40(3,6번판)</v>
          </cell>
        </row>
        <row r="162">
          <cell r="A162" t="str">
            <v>SI1622_20250812</v>
          </cell>
          <cell r="B162" t="str">
            <v>유재호</v>
          </cell>
          <cell r="C162">
            <v>45883</v>
          </cell>
          <cell r="D162" t="str">
            <v>설화수 진설명작크림 60ML (26AD 스파츌러대 사출</v>
          </cell>
          <cell r="E162">
            <v>230</v>
          </cell>
          <cell r="F162">
            <v>225</v>
          </cell>
          <cell r="G162">
            <v>225</v>
          </cell>
          <cell r="H162">
            <v>220</v>
          </cell>
          <cell r="I162">
            <v>210</v>
          </cell>
          <cell r="J162">
            <v>60</v>
          </cell>
          <cell r="K162">
            <v>60</v>
          </cell>
        </row>
        <row r="163">
          <cell r="A163" t="str">
            <v>test_20250817</v>
          </cell>
          <cell r="B163" t="str">
            <v/>
          </cell>
          <cell r="C163" t="str">
            <v/>
          </cell>
          <cell r="D163" t="str">
            <v/>
          </cell>
          <cell r="E163">
            <v>10</v>
          </cell>
          <cell r="F163">
            <v>20</v>
          </cell>
          <cell r="G163">
            <v>30</v>
          </cell>
          <cell r="H163">
            <v>40</v>
          </cell>
          <cell r="I163">
            <v>50</v>
          </cell>
        </row>
        <row r="164">
          <cell r="A164" t="str">
            <v>SI1620_20250812</v>
          </cell>
          <cell r="B164" t="str">
            <v>유재호</v>
          </cell>
          <cell r="C164">
            <v>45883</v>
          </cell>
          <cell r="D164" t="str">
            <v>설화수 진설명작크림 60ML (26AD 용기받침 사출</v>
          </cell>
          <cell r="E164">
            <v>220</v>
          </cell>
          <cell r="F164">
            <v>210</v>
          </cell>
          <cell r="G164">
            <v>205</v>
          </cell>
          <cell r="H164">
            <v>200</v>
          </cell>
          <cell r="I164">
            <v>190</v>
          </cell>
          <cell r="J164" t="str">
            <v>45(3번판)</v>
          </cell>
          <cell r="K164">
            <v>24</v>
          </cell>
        </row>
        <row r="165">
          <cell r="A165" t="str">
            <v>SI1617_20250812</v>
          </cell>
          <cell r="B165" t="str">
            <v>유재호</v>
          </cell>
          <cell r="C165">
            <v>45882</v>
          </cell>
          <cell r="D165" t="str">
            <v>설화수 진설명작크림 60ML (26AD 중용기</v>
          </cell>
          <cell r="E165">
            <v>220</v>
          </cell>
          <cell r="F165">
            <v>210</v>
          </cell>
          <cell r="G165">
            <v>205</v>
          </cell>
          <cell r="H165">
            <v>200</v>
          </cell>
          <cell r="I165">
            <v>190</v>
          </cell>
          <cell r="J165" t="str">
            <v>45(3번판)</v>
          </cell>
          <cell r="K165">
            <v>24</v>
          </cell>
        </row>
        <row r="166">
          <cell r="A166" t="str">
            <v>SI1621_20250812</v>
          </cell>
          <cell r="B166" t="str">
            <v>유재호</v>
          </cell>
          <cell r="C166">
            <v>45882</v>
          </cell>
          <cell r="D166" t="str">
            <v>설화수 진설명작크림 60ML (26AD 숄더장식 사출</v>
          </cell>
          <cell r="E166">
            <v>220</v>
          </cell>
          <cell r="F166">
            <v>210</v>
          </cell>
          <cell r="G166">
            <v>205</v>
          </cell>
          <cell r="H166">
            <v>200</v>
          </cell>
          <cell r="I166">
            <v>190</v>
          </cell>
          <cell r="J166" t="str">
            <v>50(3번판)</v>
          </cell>
          <cell r="K166">
            <v>24</v>
          </cell>
        </row>
        <row r="167">
          <cell r="A167" t="str">
            <v>SI1615_20250812</v>
          </cell>
          <cell r="B167" t="str">
            <v>유재호</v>
          </cell>
          <cell r="C167">
            <v>45882</v>
          </cell>
          <cell r="D167" t="str">
            <v>설화수 진설명작크림 60ML (26AD 캡장식-하단링</v>
          </cell>
          <cell r="E167">
            <v>220</v>
          </cell>
          <cell r="F167">
            <v>210</v>
          </cell>
          <cell r="G167">
            <v>205</v>
          </cell>
          <cell r="H167">
            <v>200</v>
          </cell>
          <cell r="I167">
            <v>190</v>
          </cell>
          <cell r="J167">
            <v>24</v>
          </cell>
          <cell r="K167">
            <v>24</v>
          </cell>
        </row>
        <row r="168">
          <cell r="A168" t="str">
            <v>SI1611_20250807</v>
          </cell>
          <cell r="B168" t="str">
            <v>장세래</v>
          </cell>
          <cell r="C168">
            <v>45876</v>
          </cell>
          <cell r="D168" t="str">
            <v>홀리추얼 울트라 너리싱 어드밴스드 토너 150ML 내캡</v>
          </cell>
          <cell r="E168">
            <v>200</v>
          </cell>
          <cell r="F168">
            <v>190</v>
          </cell>
          <cell r="G168">
            <v>190</v>
          </cell>
          <cell r="H168">
            <v>190</v>
          </cell>
          <cell r="I168">
            <v>180</v>
          </cell>
          <cell r="J168">
            <v>24</v>
          </cell>
          <cell r="K168">
            <v>24</v>
          </cell>
        </row>
        <row r="169">
          <cell r="A169" t="str">
            <v>SI1626_20250708</v>
          </cell>
          <cell r="B169" t="str">
            <v>유재호</v>
          </cell>
          <cell r="C169">
            <v>45869</v>
          </cell>
          <cell r="D169" t="str">
            <v>설화수 진설명작크림 (견) 10ML (AD 내캡</v>
          </cell>
          <cell r="E169">
            <v>210</v>
          </cell>
          <cell r="F169">
            <v>185</v>
          </cell>
          <cell r="G169">
            <v>185</v>
          </cell>
          <cell r="H169">
            <v>185</v>
          </cell>
          <cell r="I169">
            <v>180</v>
          </cell>
          <cell r="J169">
            <v>24</v>
          </cell>
          <cell r="K169">
            <v>24</v>
          </cell>
        </row>
        <row r="170">
          <cell r="A170" t="str">
            <v>SI1631_20250708</v>
          </cell>
          <cell r="B170" t="str">
            <v>유재호</v>
          </cell>
          <cell r="C170">
            <v>45869</v>
          </cell>
          <cell r="D170" t="str">
            <v>설화수 진설명작크림 (견) 5ML (AD 내캡</v>
          </cell>
          <cell r="E170">
            <v>210</v>
          </cell>
          <cell r="F170">
            <v>185</v>
          </cell>
          <cell r="G170">
            <v>185</v>
          </cell>
          <cell r="H170">
            <v>185</v>
          </cell>
          <cell r="I170">
            <v>180</v>
          </cell>
          <cell r="J170">
            <v>24</v>
          </cell>
          <cell r="K170">
            <v>24</v>
          </cell>
        </row>
        <row r="171">
          <cell r="A171" t="str">
            <v>SI1632_20250708</v>
          </cell>
          <cell r="B171" t="str">
            <v>유재호</v>
          </cell>
          <cell r="C171">
            <v>45868</v>
          </cell>
          <cell r="D171" t="str">
            <v>설화수 진설명작크림 (견) 5ML (AD 단용기</v>
          </cell>
          <cell r="E171">
            <v>210</v>
          </cell>
          <cell r="F171">
            <v>185</v>
          </cell>
          <cell r="G171">
            <v>185</v>
          </cell>
          <cell r="H171">
            <v>185</v>
          </cell>
          <cell r="I171">
            <v>180</v>
          </cell>
          <cell r="J171">
            <v>24</v>
          </cell>
          <cell r="K171">
            <v>24</v>
          </cell>
        </row>
        <row r="172">
          <cell r="A172" t="str">
            <v>SI1628_20250708</v>
          </cell>
          <cell r="B172" t="str">
            <v>유재호</v>
          </cell>
          <cell r="C172">
            <v>45868</v>
          </cell>
          <cell r="D172" t="str">
            <v>설화수 진설명작크림 (견) 10ML (AD 단용기</v>
          </cell>
          <cell r="E172">
            <v>210</v>
          </cell>
          <cell r="F172">
            <v>185</v>
          </cell>
          <cell r="G172">
            <v>185</v>
          </cell>
          <cell r="H172">
            <v>185</v>
          </cell>
          <cell r="I172">
            <v>180</v>
          </cell>
          <cell r="J172">
            <v>24</v>
          </cell>
          <cell r="K172">
            <v>24</v>
          </cell>
        </row>
        <row r="173">
          <cell r="A173" t="str">
            <v>SI1625_20250708</v>
          </cell>
          <cell r="B173" t="str">
            <v>유재호</v>
          </cell>
          <cell r="C173">
            <v>45867</v>
          </cell>
          <cell r="D173" t="str">
            <v>설화수 진설명작크림 (견) 10ML (AD 외캡</v>
          </cell>
          <cell r="E173">
            <v>230</v>
          </cell>
          <cell r="F173">
            <v>200</v>
          </cell>
          <cell r="G173">
            <v>200</v>
          </cell>
          <cell r="H173">
            <v>200</v>
          </cell>
          <cell r="I173">
            <v>190</v>
          </cell>
          <cell r="J173" t="str">
            <v>45(5,7번판 온수)</v>
          </cell>
          <cell r="K173">
            <v>24</v>
          </cell>
        </row>
        <row r="174">
          <cell r="A174" t="str">
            <v>SI1630_20250708</v>
          </cell>
          <cell r="B174" t="str">
            <v>유재호</v>
          </cell>
          <cell r="C174">
            <v>45867</v>
          </cell>
          <cell r="D174" t="str">
            <v>설화수 진설명작크림 (견) 5ML (AD 외캡</v>
          </cell>
          <cell r="E174">
            <v>230</v>
          </cell>
          <cell r="F174">
            <v>200</v>
          </cell>
          <cell r="G174">
            <v>200</v>
          </cell>
          <cell r="H174">
            <v>200</v>
          </cell>
          <cell r="I174">
            <v>190</v>
          </cell>
          <cell r="J174" t="str">
            <v>45(5,7번판 온수)</v>
          </cell>
          <cell r="K174">
            <v>24</v>
          </cell>
        </row>
        <row r="175">
          <cell r="A175" t="str">
            <v>SI1633_20250708</v>
          </cell>
          <cell r="B175" t="str">
            <v>유재호</v>
          </cell>
          <cell r="C175">
            <v>45868</v>
          </cell>
          <cell r="D175" t="str">
            <v>설화수 진설명작크림 (견) 5ML (AD 용기받침</v>
          </cell>
          <cell r="E175">
            <v>230</v>
          </cell>
          <cell r="F175">
            <v>210</v>
          </cell>
          <cell r="G175">
            <v>210</v>
          </cell>
          <cell r="H175">
            <v>210</v>
          </cell>
          <cell r="I175">
            <v>190</v>
          </cell>
          <cell r="J175" t="str">
            <v>55(5,8번판 온수)</v>
          </cell>
          <cell r="K175">
            <v>24</v>
          </cell>
        </row>
        <row r="176">
          <cell r="A176" t="str">
            <v>SI1627_20250708</v>
          </cell>
          <cell r="B176" t="str">
            <v>유재호</v>
          </cell>
          <cell r="C176">
            <v>45867</v>
          </cell>
          <cell r="D176" t="str">
            <v>설화수 진설명작크림 (견) 10ML (AD 용기받침</v>
          </cell>
          <cell r="E176">
            <v>230</v>
          </cell>
          <cell r="F176">
            <v>210</v>
          </cell>
          <cell r="G176">
            <v>210</v>
          </cell>
          <cell r="H176">
            <v>210</v>
          </cell>
          <cell r="I176">
            <v>195</v>
          </cell>
          <cell r="J176" t="str">
            <v>55(5,8번판 온수)</v>
          </cell>
          <cell r="K176">
            <v>24</v>
          </cell>
        </row>
        <row r="177">
          <cell r="A177" t="str">
            <v>SI1619_20250708</v>
          </cell>
          <cell r="B177" t="str">
            <v>유재호</v>
          </cell>
          <cell r="C177">
            <v>45862</v>
          </cell>
          <cell r="D177" t="str">
            <v>설화수 진설명작크림 60ML (26AD 외용기</v>
          </cell>
          <cell r="E177">
            <v>230</v>
          </cell>
          <cell r="F177">
            <v>230</v>
          </cell>
          <cell r="G177">
            <v>230</v>
          </cell>
          <cell r="H177">
            <v>220</v>
          </cell>
          <cell r="I177">
            <v>220</v>
          </cell>
          <cell r="J177" t="str">
            <v>35(3번판)</v>
          </cell>
          <cell r="K177">
            <v>23</v>
          </cell>
        </row>
        <row r="178">
          <cell r="A178" t="str">
            <v>SI1623_20250708</v>
          </cell>
          <cell r="B178" t="str">
            <v>유재호</v>
          </cell>
          <cell r="C178">
            <v>45862</v>
          </cell>
          <cell r="D178" t="str">
            <v>설화수 진설명작크림 리필 60ML (26AD 단캡</v>
          </cell>
          <cell r="E178">
            <v>230</v>
          </cell>
          <cell r="F178">
            <v>230</v>
          </cell>
          <cell r="G178">
            <v>230</v>
          </cell>
          <cell r="H178">
            <v>225</v>
          </cell>
          <cell r="I178">
            <v>220</v>
          </cell>
          <cell r="J178" t="str">
            <v>40(3번판)</v>
          </cell>
          <cell r="K178">
            <v>23</v>
          </cell>
        </row>
        <row r="179">
          <cell r="A179" t="str">
            <v>SI1616_20250708</v>
          </cell>
          <cell r="B179" t="str">
            <v>유재호</v>
          </cell>
          <cell r="C179">
            <v>45861</v>
          </cell>
          <cell r="D179" t="str">
            <v>설화수 진설명작크림 60ML (26AD 사출덮개</v>
          </cell>
          <cell r="E179">
            <v>240</v>
          </cell>
          <cell r="F179">
            <v>235</v>
          </cell>
          <cell r="G179">
            <v>230</v>
          </cell>
          <cell r="H179">
            <v>225</v>
          </cell>
          <cell r="I179">
            <v>220</v>
          </cell>
          <cell r="J179">
            <v>23</v>
          </cell>
          <cell r="K179">
            <v>23</v>
          </cell>
        </row>
        <row r="180">
          <cell r="A180" t="str">
            <v>SI1629_20250708</v>
          </cell>
          <cell r="B180" t="str">
            <v>유재호</v>
          </cell>
          <cell r="C180">
            <v>45861</v>
          </cell>
          <cell r="D180" t="str">
            <v>설화수 진설명작크림 (견) 10ML (AD 사출덮개</v>
          </cell>
          <cell r="E180">
            <v>240</v>
          </cell>
          <cell r="F180">
            <v>230</v>
          </cell>
          <cell r="G180">
            <v>230</v>
          </cell>
          <cell r="H180">
            <v>225</v>
          </cell>
          <cell r="I180">
            <v>220</v>
          </cell>
          <cell r="J180">
            <v>23</v>
          </cell>
          <cell r="K180">
            <v>23</v>
          </cell>
        </row>
        <row r="181">
          <cell r="A181" t="str">
            <v>SI1634_20250723</v>
          </cell>
          <cell r="B181" t="str">
            <v>유재호</v>
          </cell>
          <cell r="C181">
            <v>45861</v>
          </cell>
          <cell r="D181" t="str">
            <v>설화수 진설명작크림 (견) 5ML (AD 사출덮개</v>
          </cell>
          <cell r="E181">
            <v>240</v>
          </cell>
          <cell r="F181">
            <v>230</v>
          </cell>
          <cell r="G181">
            <v>230</v>
          </cell>
          <cell r="H181">
            <v>225</v>
          </cell>
          <cell r="I181">
            <v>220</v>
          </cell>
          <cell r="J181">
            <v>23</v>
          </cell>
          <cell r="K181">
            <v>23</v>
          </cell>
        </row>
        <row r="182">
          <cell r="A182" t="str">
            <v>SI1622_20250708</v>
          </cell>
          <cell r="B182" t="str">
            <v>유재호</v>
          </cell>
          <cell r="C182">
            <v>45859</v>
          </cell>
          <cell r="D182" t="str">
            <v>설화수 진설명작크림 60ML (26AD 스파츌러대 사출</v>
          </cell>
          <cell r="E182">
            <v>210</v>
          </cell>
          <cell r="F182">
            <v>210</v>
          </cell>
          <cell r="G182">
            <v>210</v>
          </cell>
          <cell r="H182">
            <v>200</v>
          </cell>
          <cell r="I182">
            <v>195</v>
          </cell>
          <cell r="J182">
            <v>40</v>
          </cell>
          <cell r="K182">
            <v>40</v>
          </cell>
        </row>
        <row r="183">
          <cell r="A183" t="str">
            <v>SI1618_20250708</v>
          </cell>
          <cell r="B183" t="str">
            <v>유재호</v>
          </cell>
          <cell r="C183">
            <v>45860</v>
          </cell>
          <cell r="D183" t="str">
            <v>설화수 진설명작크림 60ML (26AD 내용기</v>
          </cell>
          <cell r="E183">
            <v>20</v>
          </cell>
          <cell r="F183">
            <v>190</v>
          </cell>
          <cell r="G183">
            <v>190</v>
          </cell>
          <cell r="H183">
            <v>190</v>
          </cell>
          <cell r="I183">
            <v>180</v>
          </cell>
          <cell r="J183">
            <v>23</v>
          </cell>
          <cell r="K183">
            <v>23</v>
          </cell>
        </row>
        <row r="184">
          <cell r="A184" t="str">
            <v>SI1620_20250708</v>
          </cell>
          <cell r="B184" t="str">
            <v>유재호</v>
          </cell>
          <cell r="C184">
            <v>45859</v>
          </cell>
          <cell r="D184" t="str">
            <v>설화수 진설명작크림 60ML (26AD 용기받침 사출</v>
          </cell>
          <cell r="E184">
            <v>210</v>
          </cell>
          <cell r="F184">
            <v>210</v>
          </cell>
          <cell r="G184">
            <v>210</v>
          </cell>
          <cell r="H184">
            <v>200</v>
          </cell>
          <cell r="I184">
            <v>195</v>
          </cell>
          <cell r="J184">
            <v>45</v>
          </cell>
          <cell r="K184">
            <v>23</v>
          </cell>
        </row>
        <row r="185">
          <cell r="A185" t="str">
            <v>SI1621_20250708</v>
          </cell>
          <cell r="B185" t="str">
            <v>유재호</v>
          </cell>
          <cell r="C185">
            <v>45859</v>
          </cell>
          <cell r="D185" t="str">
            <v>설화수 진설명작크림 60ML (26AD 숄더장식 사출</v>
          </cell>
          <cell r="E185">
            <v>210</v>
          </cell>
          <cell r="F185">
            <v>210</v>
          </cell>
          <cell r="G185">
            <v>210</v>
          </cell>
          <cell r="H185">
            <v>200</v>
          </cell>
          <cell r="I185">
            <v>195</v>
          </cell>
          <cell r="J185">
            <v>45</v>
          </cell>
          <cell r="K185">
            <v>23</v>
          </cell>
        </row>
        <row r="186">
          <cell r="A186" t="str">
            <v>SI1617_20250708</v>
          </cell>
          <cell r="B186" t="str">
            <v>장세래</v>
          </cell>
          <cell r="C186">
            <v>45855</v>
          </cell>
          <cell r="D186" t="str">
            <v>설화수 진설명작크림 60ML (26AD 중용기</v>
          </cell>
          <cell r="E186">
            <v>220</v>
          </cell>
          <cell r="F186">
            <v>210</v>
          </cell>
          <cell r="G186">
            <v>210</v>
          </cell>
          <cell r="H186">
            <v>210</v>
          </cell>
          <cell r="I186">
            <v>200</v>
          </cell>
          <cell r="J186">
            <v>23</v>
          </cell>
          <cell r="K186">
            <v>23</v>
          </cell>
        </row>
        <row r="187">
          <cell r="A187" t="str">
            <v>SI1615_20250708</v>
          </cell>
          <cell r="B187" t="str">
            <v>장세래</v>
          </cell>
          <cell r="C187">
            <v>45854</v>
          </cell>
          <cell r="D187" t="str">
            <v>설화수 진설명작크림 60ML (26AD 캡장식-하단링</v>
          </cell>
          <cell r="E187">
            <v>220</v>
          </cell>
          <cell r="F187">
            <v>210</v>
          </cell>
          <cell r="G187">
            <v>210</v>
          </cell>
          <cell r="H187">
            <v>210</v>
          </cell>
          <cell r="I187">
            <v>200</v>
          </cell>
          <cell r="J187">
            <v>23</v>
          </cell>
          <cell r="K187">
            <v>23</v>
          </cell>
        </row>
        <row r="188">
          <cell r="A188" t="str">
            <v>SI1609_20250708</v>
          </cell>
          <cell r="B188" t="str">
            <v>장세래</v>
          </cell>
          <cell r="C188">
            <v>45854</v>
          </cell>
          <cell r="D188" t="str">
            <v>홀리추얼 울트라 너리싱 어드밴스드 토너 150ML 외캡 사출</v>
          </cell>
          <cell r="E188">
            <v>220</v>
          </cell>
          <cell r="F188">
            <v>210</v>
          </cell>
          <cell r="G188">
            <v>210</v>
          </cell>
          <cell r="H188">
            <v>210</v>
          </cell>
          <cell r="I188">
            <v>200</v>
          </cell>
          <cell r="J188">
            <v>23</v>
          </cell>
          <cell r="K188">
            <v>50</v>
          </cell>
        </row>
        <row r="189">
          <cell r="A189" t="str">
            <v>SI1614_20250708</v>
          </cell>
          <cell r="B189" t="str">
            <v>장세래</v>
          </cell>
          <cell r="C189">
            <v>45853</v>
          </cell>
          <cell r="D189" t="str">
            <v>설화수 진설명작크림 60ML (26AD 내캡</v>
          </cell>
          <cell r="E189">
            <v>200</v>
          </cell>
          <cell r="F189">
            <v>190</v>
          </cell>
          <cell r="G189">
            <v>190</v>
          </cell>
          <cell r="H189">
            <v>190</v>
          </cell>
          <cell r="I189">
            <v>180</v>
          </cell>
          <cell r="J189">
            <v>23</v>
          </cell>
          <cell r="K189">
            <v>23</v>
          </cell>
        </row>
        <row r="190">
          <cell r="A190" t="str">
            <v>SI1610_20250703</v>
          </cell>
          <cell r="B190" t="str">
            <v>장세래</v>
          </cell>
          <cell r="C190">
            <v>45841</v>
          </cell>
          <cell r="D190" t="str">
            <v>홀리추얼 울트라 너리싱 어드밴스드 토너 150ML 캡장식 사출</v>
          </cell>
          <cell r="E190">
            <v>215</v>
          </cell>
          <cell r="F190">
            <v>210</v>
          </cell>
          <cell r="G190">
            <v>210</v>
          </cell>
          <cell r="H190">
            <v>210</v>
          </cell>
          <cell r="I190">
            <v>200</v>
          </cell>
          <cell r="J190">
            <v>23</v>
          </cell>
          <cell r="K190">
            <v>23</v>
          </cell>
        </row>
        <row r="191">
          <cell r="A191" t="str">
            <v>SI1609_20250703</v>
          </cell>
          <cell r="B191">
            <v>0</v>
          </cell>
          <cell r="C191">
            <v>45841</v>
          </cell>
          <cell r="D191" t="str">
            <v>홀리추얼 울트라 너리싱 어드밴스드 토너 150ML 외캡 사출</v>
          </cell>
          <cell r="E191">
            <v>220</v>
          </cell>
          <cell r="F191">
            <v>210</v>
          </cell>
          <cell r="G191">
            <v>210</v>
          </cell>
          <cell r="H191">
            <v>210</v>
          </cell>
          <cell r="I191">
            <v>200</v>
          </cell>
          <cell r="J191">
            <v>23</v>
          </cell>
          <cell r="K191">
            <v>45</v>
          </cell>
        </row>
        <row r="192">
          <cell r="A192" t="str">
            <v>SI1611_20250703</v>
          </cell>
          <cell r="B192" t="str">
            <v>장세래</v>
          </cell>
          <cell r="C192">
            <v>45841</v>
          </cell>
          <cell r="D192" t="str">
            <v>홀리추얼 울트라 너리싱 어드밴스드 토너 150ML 내캡</v>
          </cell>
          <cell r="E192">
            <v>200</v>
          </cell>
          <cell r="F192">
            <v>190</v>
          </cell>
          <cell r="G192">
            <v>190</v>
          </cell>
          <cell r="H192">
            <v>190</v>
          </cell>
          <cell r="I192">
            <v>180</v>
          </cell>
          <cell r="J192">
            <v>23</v>
          </cell>
          <cell r="K192">
            <v>23</v>
          </cell>
        </row>
        <row r="193">
          <cell r="A193" t="str">
            <v>SI1606_20250630</v>
          </cell>
          <cell r="B193" t="str">
            <v>유재호</v>
          </cell>
          <cell r="C193">
            <v>45840</v>
          </cell>
          <cell r="D193" t="str">
            <v>(EUSA)라네즈 실키앤스무스 토너 150mL (26 내캡</v>
          </cell>
          <cell r="E193">
            <v>200</v>
          </cell>
          <cell r="F193">
            <v>190</v>
          </cell>
          <cell r="G193">
            <v>190</v>
          </cell>
          <cell r="H193">
            <v>190</v>
          </cell>
          <cell r="I193">
            <v>180</v>
          </cell>
          <cell r="J193">
            <v>23</v>
          </cell>
          <cell r="K193">
            <v>23</v>
          </cell>
        </row>
        <row r="194">
          <cell r="A194" t="str">
            <v>SI1600_20250623</v>
          </cell>
          <cell r="B194" t="str">
            <v>유재호</v>
          </cell>
          <cell r="C194">
            <v>45835</v>
          </cell>
          <cell r="D194" t="str">
            <v>미쟝센 퍼펙트 오일 인퓨전 헤어 마스크150g(25 단캡</v>
          </cell>
          <cell r="E194">
            <v>190</v>
          </cell>
          <cell r="F194">
            <v>180</v>
          </cell>
          <cell r="G194">
            <v>180</v>
          </cell>
          <cell r="H194">
            <v>180</v>
          </cell>
          <cell r="I194">
            <v>180</v>
          </cell>
          <cell r="J194">
            <v>24</v>
          </cell>
          <cell r="K194">
            <v>24</v>
          </cell>
        </row>
        <row r="195">
          <cell r="A195" t="str">
            <v>SI1601_20250618</v>
          </cell>
          <cell r="B195" t="str">
            <v>한창구</v>
          </cell>
          <cell r="C195">
            <v>45835</v>
          </cell>
          <cell r="D195" t="str">
            <v>미쟝센 퍼펙트 오일 인퓨전 헤어 마스크150g(25 단용기</v>
          </cell>
          <cell r="E195">
            <v>190</v>
          </cell>
          <cell r="F195">
            <v>180</v>
          </cell>
          <cell r="G195">
            <v>180</v>
          </cell>
          <cell r="H195">
            <v>180</v>
          </cell>
          <cell r="I195">
            <v>180</v>
          </cell>
          <cell r="J195">
            <v>24</v>
          </cell>
          <cell r="K195">
            <v>24</v>
          </cell>
        </row>
        <row r="196">
          <cell r="A196" t="str">
            <v>SI1606_20250618</v>
          </cell>
          <cell r="B196" t="str">
            <v>장세래</v>
          </cell>
          <cell r="C196">
            <v>45833</v>
          </cell>
          <cell r="D196" t="str">
            <v>(EUSA)라네즈 실키앤스무스 토너 150mL (26 내캡</v>
          </cell>
          <cell r="E196">
            <v>200</v>
          </cell>
          <cell r="F196">
            <v>190</v>
          </cell>
          <cell r="G196">
            <v>190</v>
          </cell>
          <cell r="H196">
            <v>190</v>
          </cell>
          <cell r="I196">
            <v>180</v>
          </cell>
          <cell r="J196">
            <v>23</v>
          </cell>
          <cell r="K196">
            <v>23</v>
          </cell>
        </row>
        <row r="197">
          <cell r="A197" t="str">
            <v>SI1611_20250623</v>
          </cell>
          <cell r="B197" t="str">
            <v>장세래</v>
          </cell>
          <cell r="C197">
            <v>45833</v>
          </cell>
          <cell r="D197" t="str">
            <v>홀리추얼 울트라 너리싱 어드밴스드 토너 150ML 내캡</v>
          </cell>
          <cell r="E197">
            <v>200</v>
          </cell>
          <cell r="F197">
            <v>190</v>
          </cell>
          <cell r="G197">
            <v>190</v>
          </cell>
          <cell r="H197">
            <v>190</v>
          </cell>
          <cell r="I197">
            <v>180</v>
          </cell>
          <cell r="J197">
            <v>23</v>
          </cell>
          <cell r="K197">
            <v>23</v>
          </cell>
        </row>
        <row r="198">
          <cell r="A198" t="str">
            <v>SI1609_20250623</v>
          </cell>
          <cell r="B198" t="str">
            <v>장세래</v>
          </cell>
          <cell r="C198">
            <v>45832</v>
          </cell>
          <cell r="D198" t="str">
            <v>홀리추얼 울트라 너리싱 어드밴스드 토너 150ML 외캡 사출</v>
          </cell>
          <cell r="E198">
            <v>210</v>
          </cell>
          <cell r="F198">
            <v>200</v>
          </cell>
          <cell r="G198">
            <v>200</v>
          </cell>
          <cell r="H198">
            <v>200</v>
          </cell>
          <cell r="I198">
            <v>190</v>
          </cell>
          <cell r="J198">
            <v>23</v>
          </cell>
          <cell r="K198">
            <v>45</v>
          </cell>
        </row>
        <row r="199">
          <cell r="A199" t="str">
            <v>SI1610_20250623</v>
          </cell>
          <cell r="B199" t="str">
            <v>장세래</v>
          </cell>
          <cell r="C199">
            <v>45832</v>
          </cell>
          <cell r="D199" t="str">
            <v>홀리추얼 울트라 너리싱 어드밴스드 토너 150ML 캡장식 사출</v>
          </cell>
          <cell r="E199">
            <v>210</v>
          </cell>
          <cell r="F199">
            <v>200</v>
          </cell>
          <cell r="G199">
            <v>200</v>
          </cell>
          <cell r="H199">
            <v>200</v>
          </cell>
          <cell r="I199">
            <v>190</v>
          </cell>
          <cell r="J199">
            <v>23</v>
          </cell>
          <cell r="K199">
            <v>23</v>
          </cell>
        </row>
        <row r="200">
          <cell r="A200" t="str">
            <v>SI1600_20250613</v>
          </cell>
          <cell r="B200" t="str">
            <v>한창구</v>
          </cell>
          <cell r="C200">
            <v>45821</v>
          </cell>
          <cell r="D200" t="str">
            <v>미쟝센 퍼펙트 오일 인퓨전 헤어 마스크150g(25 단캡</v>
          </cell>
          <cell r="E200">
            <v>190</v>
          </cell>
          <cell r="F200">
            <v>180</v>
          </cell>
          <cell r="G200">
            <v>180</v>
          </cell>
          <cell r="H200">
            <v>180</v>
          </cell>
          <cell r="I200">
            <v>180</v>
          </cell>
          <cell r="J200">
            <v>24</v>
          </cell>
          <cell r="K200">
            <v>24</v>
          </cell>
        </row>
        <row r="201">
          <cell r="A201" t="str">
            <v>SI1606_20250609</v>
          </cell>
          <cell r="B201" t="str">
            <v>장세래</v>
          </cell>
          <cell r="C201">
            <v>45821</v>
          </cell>
          <cell r="D201" t="str">
            <v>(EUSA)라네즈 실키앤스무스 토너 150mL (26 내캡</v>
          </cell>
          <cell r="E201">
            <v>200</v>
          </cell>
          <cell r="F201">
            <v>190</v>
          </cell>
          <cell r="G201">
            <v>190</v>
          </cell>
          <cell r="H201">
            <v>190</v>
          </cell>
          <cell r="I201">
            <v>180</v>
          </cell>
          <cell r="J201">
            <v>23</v>
          </cell>
          <cell r="K201">
            <v>23</v>
          </cell>
        </row>
        <row r="202">
          <cell r="A202" t="str">
            <v>김유미</v>
          </cell>
          <cell r="B202" t="str">
            <v/>
          </cell>
          <cell r="C202" t="str">
            <v/>
          </cell>
          <cell r="D202" t="str">
            <v/>
          </cell>
        </row>
        <row r="203">
          <cell r="A203" t="str">
            <v>테스트</v>
          </cell>
          <cell r="B203" t="str">
            <v/>
          </cell>
          <cell r="C203" t="str">
            <v/>
          </cell>
          <cell r="D203" t="str">
            <v/>
          </cell>
        </row>
        <row r="204">
          <cell r="A204" t="str">
            <v>SI1600_20250606</v>
          </cell>
          <cell r="B204" t="str">
            <v>장세래</v>
          </cell>
          <cell r="C204">
            <v>45814</v>
          </cell>
          <cell r="D204" t="str">
            <v>미쟝센 퍼펙트 오일 인퓨전 헤어 마스크150g(25 단캡</v>
          </cell>
          <cell r="E204">
            <v>190</v>
          </cell>
          <cell r="F204">
            <v>180</v>
          </cell>
          <cell r="G204">
            <v>180</v>
          </cell>
          <cell r="H204">
            <v>180</v>
          </cell>
          <cell r="I204">
            <v>180</v>
          </cell>
        </row>
        <row r="205">
          <cell r="A205" t="str">
            <v>SI1605_20250522</v>
          </cell>
          <cell r="B205" t="str">
            <v>장세래</v>
          </cell>
          <cell r="C205">
            <v>45812</v>
          </cell>
          <cell r="D205" t="str">
            <v>(EUSA)라네즈 실키앤스무스 토너 150mL (26 외캡</v>
          </cell>
          <cell r="E205">
            <v>210</v>
          </cell>
          <cell r="F205">
            <v>200</v>
          </cell>
          <cell r="G205">
            <v>200</v>
          </cell>
          <cell r="H205">
            <v>200</v>
          </cell>
          <cell r="I205">
            <v>190</v>
          </cell>
          <cell r="J205">
            <v>23</v>
          </cell>
          <cell r="K205">
            <v>45</v>
          </cell>
        </row>
        <row r="206">
          <cell r="A206" t="str">
            <v>SI1606_20250522</v>
          </cell>
          <cell r="B206" t="str">
            <v>장세래</v>
          </cell>
          <cell r="C206">
            <v>45806</v>
          </cell>
          <cell r="D206" t="str">
            <v>(EUSA)라네즈 실키앤스무스 토너 150mL (26 내캡</v>
          </cell>
          <cell r="E206">
            <v>200</v>
          </cell>
          <cell r="F206">
            <v>190</v>
          </cell>
          <cell r="G206">
            <v>190</v>
          </cell>
          <cell r="H206">
            <v>190</v>
          </cell>
          <cell r="I206">
            <v>180</v>
          </cell>
          <cell r="J206">
            <v>23</v>
          </cell>
          <cell r="K206">
            <v>23</v>
          </cell>
        </row>
        <row r="207">
          <cell r="A207" t="str">
            <v>SI1606_20250519</v>
          </cell>
          <cell r="B207" t="str">
            <v>한창구</v>
          </cell>
          <cell r="C207">
            <v>45797</v>
          </cell>
          <cell r="D207" t="str">
            <v>(EUSA)라네즈 실키앤스무스 토너 150mL (26 내캡</v>
          </cell>
          <cell r="E207">
            <v>200</v>
          </cell>
          <cell r="F207">
            <v>195</v>
          </cell>
          <cell r="G207">
            <v>190</v>
          </cell>
          <cell r="H207">
            <v>185</v>
          </cell>
          <cell r="I207">
            <v>180</v>
          </cell>
          <cell r="J207">
            <v>24</v>
          </cell>
          <cell r="K207">
            <v>24</v>
          </cell>
        </row>
        <row r="208">
          <cell r="A208" t="str">
            <v>SI1605_20250519</v>
          </cell>
          <cell r="B208" t="str">
            <v>유재호</v>
          </cell>
          <cell r="C208">
            <v>45796</v>
          </cell>
          <cell r="D208" t="str">
            <v>(EUSA)라네즈 실키앤스무스 토너 150mL (26 외캡</v>
          </cell>
          <cell r="E208">
            <v>220</v>
          </cell>
          <cell r="F208">
            <v>200</v>
          </cell>
          <cell r="G208">
            <v>200</v>
          </cell>
          <cell r="H208">
            <v>195</v>
          </cell>
          <cell r="I208">
            <v>190</v>
          </cell>
          <cell r="J208">
            <v>23</v>
          </cell>
          <cell r="K208">
            <v>23</v>
          </cell>
          <cell r="L208" t="str">
            <v>6,7판 온수 45도</v>
          </cell>
        </row>
        <row r="209">
          <cell r="A209" t="str">
            <v>SI1600_20250421</v>
          </cell>
          <cell r="B209" t="str">
            <v/>
          </cell>
          <cell r="C209" t="str">
            <v/>
          </cell>
          <cell r="D209" t="str">
            <v/>
          </cell>
          <cell r="E209">
            <v>200</v>
          </cell>
          <cell r="F209">
            <v>190</v>
          </cell>
          <cell r="G209">
            <v>180</v>
          </cell>
          <cell r="H209">
            <v>180</v>
          </cell>
          <cell r="I209">
            <v>180</v>
          </cell>
          <cell r="J209">
            <v>23</v>
          </cell>
          <cell r="K209">
            <v>23</v>
          </cell>
        </row>
        <row r="210">
          <cell r="A210" t="str">
            <v>SI1600_20250416</v>
          </cell>
          <cell r="B210" t="str">
            <v>장세래</v>
          </cell>
          <cell r="C210">
            <v>45768</v>
          </cell>
          <cell r="D210" t="str">
            <v>미쟝센 퍼펙트 오일 인퓨전 헤어 마스크150g(25 단캡</v>
          </cell>
          <cell r="E210">
            <v>200</v>
          </cell>
          <cell r="F210">
            <v>190</v>
          </cell>
          <cell r="G210">
            <v>180</v>
          </cell>
          <cell r="H210">
            <v>180</v>
          </cell>
          <cell r="I210">
            <v>180</v>
          </cell>
          <cell r="J210">
            <v>23</v>
          </cell>
          <cell r="K210">
            <v>23</v>
          </cell>
        </row>
        <row r="211">
          <cell r="A211" t="str">
            <v>SI1601_20250417</v>
          </cell>
          <cell r="B211" t="str">
            <v>장세래</v>
          </cell>
          <cell r="C211">
            <v>45765</v>
          </cell>
          <cell r="D211" t="str">
            <v>미쟝센 퍼펙트 오일 인퓨전 헤어 마스크150g(25 단용기</v>
          </cell>
          <cell r="E211">
            <v>215</v>
          </cell>
          <cell r="F211">
            <v>190</v>
          </cell>
          <cell r="G211">
            <v>180</v>
          </cell>
          <cell r="H211">
            <v>180</v>
          </cell>
          <cell r="I211">
            <v>180</v>
          </cell>
          <cell r="J211">
            <v>23</v>
          </cell>
          <cell r="K211">
            <v>23</v>
          </cell>
        </row>
        <row r="212">
          <cell r="A212" t="str">
            <v>SI1598_20250408</v>
          </cell>
          <cell r="B212" t="str">
            <v>유재호</v>
          </cell>
          <cell r="C212">
            <v>45756</v>
          </cell>
          <cell r="D212" t="str">
            <v>라네즈 바운시슬리핑마스크 70ML (20AD 단캡</v>
          </cell>
          <cell r="E212">
            <v>210</v>
          </cell>
          <cell r="F212">
            <v>190</v>
          </cell>
          <cell r="G212">
            <v>190</v>
          </cell>
          <cell r="H212">
            <v>190</v>
          </cell>
          <cell r="I212">
            <v>185</v>
          </cell>
          <cell r="J212">
            <v>23</v>
          </cell>
          <cell r="K212">
            <v>23</v>
          </cell>
        </row>
        <row r="213">
          <cell r="A213" t="str">
            <v>SI1601_20250402</v>
          </cell>
          <cell r="B213" t="str">
            <v>장세래</v>
          </cell>
          <cell r="C213">
            <v>45751</v>
          </cell>
          <cell r="D213" t="str">
            <v>미쟝센 퍼펙트 오일 인퓨전 헤어 마스크150g(25 단용기</v>
          </cell>
          <cell r="E213">
            <v>210</v>
          </cell>
          <cell r="F213">
            <v>190</v>
          </cell>
          <cell r="G213">
            <v>180</v>
          </cell>
          <cell r="H213">
            <v>180</v>
          </cell>
          <cell r="I213">
            <v>180</v>
          </cell>
          <cell r="J213">
            <v>23</v>
          </cell>
          <cell r="K213">
            <v>23</v>
          </cell>
        </row>
        <row r="214">
          <cell r="A214" t="str">
            <v>SI1600_20250402</v>
          </cell>
          <cell r="B214" t="str">
            <v>장세래</v>
          </cell>
          <cell r="C214">
            <v>45751</v>
          </cell>
          <cell r="D214" t="str">
            <v>미쟝센 퍼펙트 오일 인퓨전 헤어 마스크150g(25 단캡</v>
          </cell>
          <cell r="E214">
            <v>190</v>
          </cell>
          <cell r="F214">
            <v>190</v>
          </cell>
          <cell r="G214">
            <v>180</v>
          </cell>
          <cell r="H214">
            <v>180</v>
          </cell>
          <cell r="I214">
            <v>180</v>
          </cell>
          <cell r="J214">
            <v>23</v>
          </cell>
          <cell r="K214">
            <v>23</v>
          </cell>
        </row>
        <row r="215">
          <cell r="A215" t="str">
            <v>SI1558_20250321</v>
          </cell>
          <cell r="B215" t="str">
            <v>유재호</v>
          </cell>
          <cell r="C215">
            <v>45737</v>
          </cell>
          <cell r="D215" t="str">
            <v>라보에이치 모발강화 트리트먼트 200ml 50파이 장식</v>
          </cell>
          <cell r="E215">
            <v>200</v>
          </cell>
          <cell r="F215">
            <v>190</v>
          </cell>
          <cell r="G215">
            <v>190</v>
          </cell>
          <cell r="H215">
            <v>190</v>
          </cell>
          <cell r="I215">
            <v>185</v>
          </cell>
          <cell r="J215">
            <v>21</v>
          </cell>
          <cell r="K215">
            <v>21</v>
          </cell>
        </row>
        <row r="216">
          <cell r="A216" t="str">
            <v>SI1560_20250321</v>
          </cell>
          <cell r="B216" t="str">
            <v>유재호</v>
          </cell>
          <cell r="C216">
            <v>45737</v>
          </cell>
          <cell r="D216" t="str">
            <v>라보에이치 모발강화 트리트먼트 300ml 60파이 장식</v>
          </cell>
          <cell r="E216">
            <v>200</v>
          </cell>
          <cell r="F216">
            <v>190</v>
          </cell>
          <cell r="G216">
            <v>190</v>
          </cell>
          <cell r="H216">
            <v>190</v>
          </cell>
          <cell r="I216">
            <v>185</v>
          </cell>
          <cell r="J216">
            <v>21</v>
          </cell>
          <cell r="K216">
            <v>21</v>
          </cell>
        </row>
        <row r="217">
          <cell r="A217" t="str">
            <v>SI1596_20250318</v>
          </cell>
          <cell r="B217" t="str">
            <v>한창구</v>
          </cell>
          <cell r="C217">
            <v>45735</v>
          </cell>
          <cell r="D217" t="str">
            <v>라네즈 워터슬리핑마스크 70ML (20AD 외용기</v>
          </cell>
          <cell r="E217">
            <v>200</v>
          </cell>
          <cell r="F217">
            <v>190</v>
          </cell>
          <cell r="G217">
            <v>190</v>
          </cell>
          <cell r="H217">
            <v>190</v>
          </cell>
          <cell r="I217">
            <v>190</v>
          </cell>
          <cell r="J217" t="str">
            <v>55/60</v>
          </cell>
          <cell r="K217">
            <v>55</v>
          </cell>
          <cell r="M217" t="str">
            <v>1~4</v>
          </cell>
          <cell r="N217" t="str">
            <v>5~9</v>
          </cell>
          <cell r="Q217">
            <v>180</v>
          </cell>
          <cell r="R217">
            <v>200</v>
          </cell>
        </row>
        <row r="218">
          <cell r="A218" t="str">
            <v>SI1597_20250307</v>
          </cell>
          <cell r="B218" t="str">
            <v>유재호</v>
          </cell>
          <cell r="C218">
            <v>45723</v>
          </cell>
          <cell r="D218" t="str">
            <v>아모레 원터치캡 45파이</v>
          </cell>
          <cell r="E218">
            <v>220</v>
          </cell>
          <cell r="F218">
            <v>190</v>
          </cell>
          <cell r="G218">
            <v>190</v>
          </cell>
          <cell r="H218">
            <v>190</v>
          </cell>
          <cell r="I218">
            <v>185</v>
          </cell>
          <cell r="J218">
            <v>21</v>
          </cell>
          <cell r="K218">
            <v>21</v>
          </cell>
        </row>
        <row r="219">
          <cell r="A219" t="str">
            <v>SI1592_20250204</v>
          </cell>
          <cell r="B219" t="str">
            <v>유재호</v>
          </cell>
          <cell r="C219">
            <v>45716</v>
          </cell>
          <cell r="D219" t="str">
            <v>라네즈 워터슬리핑마스크 70ML (20AD 내용기</v>
          </cell>
          <cell r="E219">
            <v>230</v>
          </cell>
          <cell r="F219">
            <v>190</v>
          </cell>
          <cell r="G219">
            <v>185</v>
          </cell>
          <cell r="H219">
            <v>185</v>
          </cell>
          <cell r="I219">
            <v>180</v>
          </cell>
          <cell r="J219">
            <v>21</v>
          </cell>
          <cell r="K219">
            <v>21</v>
          </cell>
        </row>
        <row r="220">
          <cell r="A220" t="str">
            <v>SI1590_20250204</v>
          </cell>
          <cell r="B220" t="str">
            <v>유재호</v>
          </cell>
          <cell r="C220">
            <v>45716</v>
          </cell>
          <cell r="D220" t="str">
            <v/>
          </cell>
          <cell r="E220">
            <v>220</v>
          </cell>
          <cell r="F220">
            <v>190</v>
          </cell>
          <cell r="G220">
            <v>185</v>
          </cell>
          <cell r="H220">
            <v>185</v>
          </cell>
          <cell r="I220">
            <v>180</v>
          </cell>
          <cell r="J220">
            <v>21</v>
          </cell>
          <cell r="K220">
            <v>21</v>
          </cell>
        </row>
        <row r="221">
          <cell r="A221" t="str">
            <v>SI1543_20250227</v>
          </cell>
          <cell r="B221" t="str">
            <v>유재호</v>
          </cell>
          <cell r="C221">
            <v>45715</v>
          </cell>
          <cell r="D221" t="str">
            <v>아이오페 스템Ⅲ 클리니컬 리커버리 크림 50ML(25) 내용기</v>
          </cell>
          <cell r="E221">
            <v>210</v>
          </cell>
          <cell r="F221">
            <v>190</v>
          </cell>
          <cell r="G221">
            <v>185</v>
          </cell>
          <cell r="H221">
            <v>185</v>
          </cell>
          <cell r="I221">
            <v>185</v>
          </cell>
          <cell r="J221">
            <v>21</v>
          </cell>
          <cell r="K221">
            <v>21</v>
          </cell>
        </row>
        <row r="222">
          <cell r="A222" t="str">
            <v>SI1591_20250224</v>
          </cell>
          <cell r="B222" t="str">
            <v>유재호</v>
          </cell>
          <cell r="C222">
            <v>45712</v>
          </cell>
          <cell r="D222" t="str">
            <v>라네즈 워터슬리핑마스크 70ML (20AD 단캡</v>
          </cell>
          <cell r="E222">
            <v>220</v>
          </cell>
          <cell r="F222">
            <v>190</v>
          </cell>
          <cell r="G222">
            <v>190</v>
          </cell>
          <cell r="H222">
            <v>190</v>
          </cell>
          <cell r="I222">
            <v>185</v>
          </cell>
          <cell r="J222">
            <v>21</v>
          </cell>
          <cell r="K222">
            <v>21</v>
          </cell>
        </row>
        <row r="223">
          <cell r="A223" t="str">
            <v>SI1591_20250204</v>
          </cell>
          <cell r="B223" t="str">
            <v>장세래</v>
          </cell>
          <cell r="C223">
            <v>45708</v>
          </cell>
          <cell r="D223" t="str">
            <v>라네즈 워터슬리핑마스크 70ML (20AD 단캡</v>
          </cell>
          <cell r="E223">
            <v>220</v>
          </cell>
          <cell r="F223">
            <v>190</v>
          </cell>
          <cell r="G223">
            <v>190</v>
          </cell>
          <cell r="H223">
            <v>190</v>
          </cell>
          <cell r="I223">
            <v>190</v>
          </cell>
          <cell r="J223">
            <v>21</v>
          </cell>
          <cell r="K223">
            <v>21</v>
          </cell>
        </row>
        <row r="224">
          <cell r="A224" t="str">
            <v>SI1596_20250219</v>
          </cell>
          <cell r="B224" t="str">
            <v>장세래</v>
          </cell>
          <cell r="C224">
            <v>45707</v>
          </cell>
          <cell r="D224" t="str">
            <v>라네즈 워터슬리핑마스크 70ML (20AD 외용기</v>
          </cell>
          <cell r="E224">
            <v>200</v>
          </cell>
          <cell r="F224">
            <v>190</v>
          </cell>
          <cell r="G224">
            <v>190</v>
          </cell>
          <cell r="H224">
            <v>190</v>
          </cell>
          <cell r="I224">
            <v>180</v>
          </cell>
          <cell r="J224" t="str">
            <v>온수</v>
          </cell>
          <cell r="K224" t="str">
            <v>온수</v>
          </cell>
          <cell r="L224" t="str">
            <v>4번 55도,5번 70도 9번 55 나머지 판은 일반 반잠금</v>
          </cell>
          <cell r="M224" t="str">
            <v>1~4</v>
          </cell>
          <cell r="N224" t="str">
            <v>4~9</v>
          </cell>
          <cell r="Q224">
            <v>180</v>
          </cell>
          <cell r="R224">
            <v>190</v>
          </cell>
        </row>
        <row r="225">
          <cell r="A225" t="str">
            <v>SI1541_20250204</v>
          </cell>
          <cell r="B225" t="str">
            <v>장세래</v>
          </cell>
          <cell r="C225">
            <v>45701</v>
          </cell>
          <cell r="D225" t="str">
            <v>아이오페 스템Ⅲ 클리니컬 리커버리 크림 50ML(25) 외캡 사출</v>
          </cell>
          <cell r="E225">
            <v>230</v>
          </cell>
          <cell r="F225">
            <v>230</v>
          </cell>
          <cell r="G225">
            <v>230</v>
          </cell>
          <cell r="H225">
            <v>230</v>
          </cell>
          <cell r="I225">
            <v>210</v>
          </cell>
          <cell r="J225" t="str">
            <v>온수/일반</v>
          </cell>
          <cell r="K225" t="str">
            <v>온수/일반</v>
          </cell>
          <cell r="L225" t="str">
            <v>3번판 58도 6번판 45도</v>
          </cell>
        </row>
        <row r="226">
          <cell r="A226" t="str">
            <v>SI1540_20250204</v>
          </cell>
          <cell r="B226" t="str">
            <v>장세래</v>
          </cell>
          <cell r="C226">
            <v>45700</v>
          </cell>
          <cell r="D226" t="str">
            <v>아이오페 스템Ⅲ 클리니컬 리커버리 크림 50ML(25) 캡장식 사출</v>
          </cell>
          <cell r="E226">
            <v>220</v>
          </cell>
          <cell r="F226">
            <v>210</v>
          </cell>
          <cell r="G226">
            <v>210</v>
          </cell>
          <cell r="H226">
            <v>210</v>
          </cell>
          <cell r="I226">
            <v>200</v>
          </cell>
          <cell r="J226">
            <v>45</v>
          </cell>
          <cell r="K226">
            <v>45</v>
          </cell>
        </row>
        <row r="227">
          <cell r="A227" t="str">
            <v>SI1542_20250204</v>
          </cell>
          <cell r="B227" t="str">
            <v>유재호</v>
          </cell>
          <cell r="C227">
            <v>45699</v>
          </cell>
          <cell r="D227" t="str">
            <v>아이오페 스템Ⅲ 클리니컬 리커버리 크림 50ML(25) 내캡 사출</v>
          </cell>
          <cell r="E227">
            <v>210</v>
          </cell>
          <cell r="F227">
            <v>190</v>
          </cell>
          <cell r="G227">
            <v>185</v>
          </cell>
          <cell r="H227">
            <v>185</v>
          </cell>
          <cell r="I227">
            <v>180</v>
          </cell>
          <cell r="J227">
            <v>21</v>
          </cell>
          <cell r="K227">
            <v>21</v>
          </cell>
        </row>
        <row r="228">
          <cell r="A228" t="str">
            <v>SI1543_20250204</v>
          </cell>
          <cell r="B228" t="str">
            <v>유재호</v>
          </cell>
          <cell r="C228">
            <v>45699</v>
          </cell>
          <cell r="D228" t="str">
            <v>아이오페 스템Ⅲ 클리니컬 리커버리 크림 50ML(25) 내용기</v>
          </cell>
          <cell r="E228">
            <v>210</v>
          </cell>
          <cell r="F228">
            <v>190</v>
          </cell>
          <cell r="G228">
            <v>185</v>
          </cell>
          <cell r="H228">
            <v>185</v>
          </cell>
          <cell r="I228">
            <v>180</v>
          </cell>
          <cell r="J228">
            <v>21</v>
          </cell>
          <cell r="K228">
            <v>21</v>
          </cell>
        </row>
        <row r="229">
          <cell r="A229" t="str">
            <v>SI1569_20250114</v>
          </cell>
          <cell r="B229" t="str">
            <v>장세래</v>
          </cell>
          <cell r="C229">
            <v>45681</v>
          </cell>
          <cell r="D229" t="str">
            <v>(수출)라네즈 유스콜라겐드링크 25ml*30EA 패키지변경 25AD 캡</v>
          </cell>
          <cell r="E229">
            <v>200</v>
          </cell>
          <cell r="F229">
            <v>200</v>
          </cell>
          <cell r="G229">
            <v>200</v>
          </cell>
          <cell r="H229">
            <v>200</v>
          </cell>
          <cell r="I229">
            <v>190</v>
          </cell>
          <cell r="J229">
            <v>21</v>
          </cell>
          <cell r="K229">
            <v>21</v>
          </cell>
          <cell r="M229" t="str">
            <v>1~32</v>
          </cell>
          <cell r="N229" t="str">
            <v>33~40</v>
          </cell>
          <cell r="Q229">
            <v>200</v>
          </cell>
          <cell r="R229">
            <v>200</v>
          </cell>
        </row>
        <row r="230">
          <cell r="A230" t="str">
            <v>SI1591_20250116</v>
          </cell>
          <cell r="B230" t="str">
            <v>유재호</v>
          </cell>
          <cell r="C230">
            <v>45681</v>
          </cell>
          <cell r="D230" t="str">
            <v>라네즈 워터슬리핑마스크 70ML (20AD 단캡</v>
          </cell>
          <cell r="E230">
            <v>220</v>
          </cell>
          <cell r="F230">
            <v>190</v>
          </cell>
          <cell r="G230">
            <v>190</v>
          </cell>
          <cell r="H230">
            <v>190</v>
          </cell>
          <cell r="I230">
            <v>185</v>
          </cell>
          <cell r="J230">
            <v>21</v>
          </cell>
          <cell r="K230">
            <v>21</v>
          </cell>
        </row>
        <row r="231">
          <cell r="A231" t="str">
            <v>SI1592_20250116</v>
          </cell>
          <cell r="B231" t="str">
            <v>유재호</v>
          </cell>
          <cell r="C231">
            <v>45679</v>
          </cell>
          <cell r="D231" t="str">
            <v>라네즈 워터슬리핑마스크 70ML (20AD 내용기</v>
          </cell>
          <cell r="E231">
            <v>220</v>
          </cell>
          <cell r="F231">
            <v>190</v>
          </cell>
          <cell r="G231">
            <v>185</v>
          </cell>
          <cell r="H231">
            <v>185</v>
          </cell>
          <cell r="I231">
            <v>180</v>
          </cell>
          <cell r="J231">
            <v>21</v>
          </cell>
          <cell r="K231">
            <v>21</v>
          </cell>
        </row>
        <row r="232">
          <cell r="A232" t="str">
            <v>SI1590_20250116</v>
          </cell>
          <cell r="B232" t="str">
            <v>유재호</v>
          </cell>
          <cell r="C232">
            <v>45679</v>
          </cell>
          <cell r="D232" t="str">
            <v>라네즈 시카슬리핑마스크 60ML (21AD 내용기</v>
          </cell>
          <cell r="E232">
            <v>220</v>
          </cell>
          <cell r="F232">
            <v>190</v>
          </cell>
          <cell r="G232">
            <v>185</v>
          </cell>
          <cell r="H232">
            <v>185</v>
          </cell>
          <cell r="I232">
            <v>180</v>
          </cell>
          <cell r="J232">
            <v>21</v>
          </cell>
          <cell r="K232">
            <v>21</v>
          </cell>
        </row>
        <row r="233">
          <cell r="A233" t="str">
            <v>SI1558_20250120</v>
          </cell>
          <cell r="B233" t="str">
            <v>유재호</v>
          </cell>
          <cell r="C233">
            <v>45677</v>
          </cell>
          <cell r="D233" t="str">
            <v>라보에이치 모발강화 트리트먼트 200ml 50파이 장식</v>
          </cell>
          <cell r="E233">
            <v>220</v>
          </cell>
          <cell r="F233">
            <v>190</v>
          </cell>
          <cell r="G233">
            <v>185</v>
          </cell>
          <cell r="H233">
            <v>185</v>
          </cell>
          <cell r="I233">
            <v>180</v>
          </cell>
          <cell r="J233">
            <v>21</v>
          </cell>
          <cell r="K233">
            <v>21</v>
          </cell>
        </row>
        <row r="234">
          <cell r="A234" t="str">
            <v>SI1560_20250120</v>
          </cell>
          <cell r="B234" t="str">
            <v>유재호</v>
          </cell>
          <cell r="C234">
            <v>45677</v>
          </cell>
          <cell r="D234" t="str">
            <v>라보에이치 모발강화 트리트먼트 300ml 60파이 장식</v>
          </cell>
          <cell r="E234">
            <v>220</v>
          </cell>
          <cell r="F234">
            <v>190</v>
          </cell>
          <cell r="G234">
            <v>185</v>
          </cell>
          <cell r="H234">
            <v>185</v>
          </cell>
          <cell r="I234">
            <v>180</v>
          </cell>
          <cell r="J234">
            <v>21</v>
          </cell>
          <cell r="K234">
            <v>21</v>
          </cell>
        </row>
        <row r="235">
          <cell r="A235" t="str">
            <v>SI1557_20250116</v>
          </cell>
          <cell r="B235" t="str">
            <v>유재호</v>
          </cell>
          <cell r="C235">
            <v>45677</v>
          </cell>
          <cell r="D235" t="str">
            <v>라보에이치 모발강화 트리트먼트 200ml 50파이 원터치캡</v>
          </cell>
          <cell r="E235">
            <v>210</v>
          </cell>
          <cell r="F235">
            <v>190</v>
          </cell>
          <cell r="G235">
            <v>190</v>
          </cell>
          <cell r="H235">
            <v>185</v>
          </cell>
          <cell r="I235">
            <v>180</v>
          </cell>
          <cell r="J235">
            <v>21</v>
          </cell>
          <cell r="K235">
            <v>21</v>
          </cell>
        </row>
        <row r="236">
          <cell r="A236" t="str">
            <v>SI1538_20241008</v>
          </cell>
          <cell r="B236" t="str">
            <v>장세래</v>
          </cell>
          <cell r="C236">
            <v>45579</v>
          </cell>
          <cell r="D236" t="str">
            <v>설화수 진설클렌징폼 150ml (25AD 외캡</v>
          </cell>
          <cell r="E236">
            <v>230</v>
          </cell>
          <cell r="F236">
            <v>230</v>
          </cell>
          <cell r="G236">
            <v>230</v>
          </cell>
          <cell r="H236">
            <v>230</v>
          </cell>
          <cell r="I236">
            <v>210</v>
          </cell>
          <cell r="J236">
            <v>23</v>
          </cell>
          <cell r="K236">
            <v>23</v>
          </cell>
          <cell r="L236" t="str">
            <v>NO3,5,6 온수55℃</v>
          </cell>
        </row>
        <row r="237">
          <cell r="A237" t="str">
            <v>SI1543_20241014</v>
          </cell>
          <cell r="B237" t="str">
            <v>한창구</v>
          </cell>
          <cell r="C237">
            <v>45581</v>
          </cell>
          <cell r="D237" t="str">
            <v>아이오페 스템Ⅲ 클리니컬 리커버리 크림 50ML(25) 내용기</v>
          </cell>
          <cell r="E237">
            <v>200</v>
          </cell>
          <cell r="F237">
            <v>200</v>
          </cell>
          <cell r="G237">
            <v>200</v>
          </cell>
          <cell r="H237">
            <v>195</v>
          </cell>
          <cell r="I237">
            <v>190</v>
          </cell>
          <cell r="J237" t="str">
            <v>일반</v>
          </cell>
          <cell r="K237" t="str">
            <v>일반</v>
          </cell>
          <cell r="L237" t="str">
            <v>23℃</v>
          </cell>
        </row>
        <row r="238">
          <cell r="A238" t="str">
            <v>SI1541_20241014</v>
          </cell>
          <cell r="B238" t="str">
            <v>한창구</v>
          </cell>
          <cell r="C238">
            <v>45581</v>
          </cell>
          <cell r="D238" t="str">
            <v>아이오페 스템Ⅲ 클리니컬 리커버리 크림 50ML(25) 외캡 사출</v>
          </cell>
          <cell r="E238">
            <v>230</v>
          </cell>
          <cell r="F238">
            <v>230</v>
          </cell>
          <cell r="G238">
            <v>220</v>
          </cell>
          <cell r="H238">
            <v>220</v>
          </cell>
          <cell r="I238">
            <v>200</v>
          </cell>
          <cell r="J238" t="str">
            <v>일반/온수</v>
          </cell>
          <cell r="K238" t="str">
            <v>일반</v>
          </cell>
          <cell r="L238" t="str">
            <v>온수45℃</v>
          </cell>
        </row>
        <row r="239">
          <cell r="A239" t="str">
            <v>SI0992_20241014</v>
          </cell>
          <cell r="B239" t="str">
            <v>장세래</v>
          </cell>
          <cell r="C239">
            <v>45583</v>
          </cell>
          <cell r="D239" t="str">
            <v>일리윤 히알루론모이스춰수분크림 100ML (24 외용기 사출</v>
          </cell>
          <cell r="E239">
            <v>240</v>
          </cell>
          <cell r="F239">
            <v>220</v>
          </cell>
          <cell r="G239">
            <v>200</v>
          </cell>
          <cell r="H239">
            <v>200</v>
          </cell>
          <cell r="I239">
            <v>200</v>
          </cell>
          <cell r="J239">
            <v>40</v>
          </cell>
          <cell r="K239">
            <v>23</v>
          </cell>
        </row>
        <row r="240">
          <cell r="A240" t="str">
            <v>SI0993_20241014</v>
          </cell>
          <cell r="B240" t="str">
            <v>장세래</v>
          </cell>
          <cell r="C240">
            <v>45583</v>
          </cell>
          <cell r="D240" t="str">
            <v>일리윤 프로바이오틱스 스킨 배리어 크림 100ML 캡 사출</v>
          </cell>
          <cell r="E240">
            <v>220</v>
          </cell>
          <cell r="F240">
            <v>200</v>
          </cell>
          <cell r="G240">
            <v>190</v>
          </cell>
          <cell r="H240">
            <v>190</v>
          </cell>
          <cell r="I240">
            <v>180</v>
          </cell>
          <cell r="J240">
            <v>23</v>
          </cell>
          <cell r="K240">
            <v>23</v>
          </cell>
        </row>
        <row r="241">
          <cell r="A241" t="str">
            <v>SI0994_20241014</v>
          </cell>
          <cell r="B241" t="str">
            <v>장세래</v>
          </cell>
          <cell r="C241">
            <v>45584</v>
          </cell>
          <cell r="D241" t="str">
            <v>일리윤 히알루론모이스춰수분크림 100ML (21 내용기 사출</v>
          </cell>
          <cell r="E241">
            <v>220</v>
          </cell>
          <cell r="F241">
            <v>200</v>
          </cell>
          <cell r="G241">
            <v>190</v>
          </cell>
          <cell r="H241">
            <v>190</v>
          </cell>
          <cell r="I241">
            <v>100</v>
          </cell>
          <cell r="J241">
            <v>23</v>
          </cell>
          <cell r="K241">
            <v>23</v>
          </cell>
        </row>
        <row r="242">
          <cell r="A242" t="str">
            <v>SI1539_20241017</v>
          </cell>
          <cell r="B242" t="str">
            <v>유재호</v>
          </cell>
          <cell r="C242">
            <v>45587</v>
          </cell>
          <cell r="D242" t="str">
            <v>설화수 진설클렌징폼 150ml (25AD 내캡</v>
          </cell>
          <cell r="E242">
            <v>200</v>
          </cell>
          <cell r="F242">
            <v>185</v>
          </cell>
          <cell r="G242">
            <v>185</v>
          </cell>
          <cell r="H242">
            <v>180</v>
          </cell>
          <cell r="J242">
            <v>26</v>
          </cell>
          <cell r="K242">
            <v>26</v>
          </cell>
        </row>
        <row r="243">
          <cell r="A243" t="str">
            <v>SI1553_20241017</v>
          </cell>
          <cell r="B243" t="str">
            <v>유재호</v>
          </cell>
          <cell r="C243">
            <v>45587</v>
          </cell>
          <cell r="D243" t="str">
            <v>설화수 진설클렌징폼 견본 40ml (25AD 내캡</v>
          </cell>
          <cell r="E243">
            <v>200</v>
          </cell>
          <cell r="F243">
            <v>185</v>
          </cell>
          <cell r="G243">
            <v>185</v>
          </cell>
          <cell r="H243">
            <v>180</v>
          </cell>
          <cell r="J243">
            <v>26</v>
          </cell>
          <cell r="K243">
            <v>26</v>
          </cell>
        </row>
        <row r="244">
          <cell r="A244" t="str">
            <v>SI1538_20241017</v>
          </cell>
          <cell r="B244" t="str">
            <v>유재호</v>
          </cell>
          <cell r="C244">
            <v>45588</v>
          </cell>
          <cell r="D244" t="str">
            <v>설화수 진설클렌징폼 150ml (25AD 외캡</v>
          </cell>
          <cell r="E244">
            <v>230</v>
          </cell>
          <cell r="F244">
            <v>230</v>
          </cell>
          <cell r="G244">
            <v>225</v>
          </cell>
          <cell r="H244">
            <v>225</v>
          </cell>
          <cell r="I244">
            <v>200</v>
          </cell>
          <cell r="J244">
            <v>23</v>
          </cell>
          <cell r="K244">
            <v>45</v>
          </cell>
        </row>
        <row r="245">
          <cell r="A245" t="str">
            <v>SI1554_20241017-1</v>
          </cell>
          <cell r="B245" t="str">
            <v>유재호</v>
          </cell>
          <cell r="C245">
            <v>45588</v>
          </cell>
          <cell r="D245" t="str">
            <v>설화수 진설클렌징폼 견본 40ml (25AD 외캡</v>
          </cell>
          <cell r="E245">
            <v>230</v>
          </cell>
          <cell r="F245">
            <v>210</v>
          </cell>
          <cell r="G245">
            <v>210</v>
          </cell>
          <cell r="H245">
            <v>200</v>
          </cell>
          <cell r="I245">
            <v>195</v>
          </cell>
          <cell r="J245">
            <v>23</v>
          </cell>
          <cell r="K245">
            <v>45</v>
          </cell>
        </row>
        <row r="246">
          <cell r="A246" t="str">
            <v>SI1554_20241017-2</v>
          </cell>
          <cell r="B246" t="str">
            <v>유재호</v>
          </cell>
          <cell r="C246">
            <v>45588</v>
          </cell>
          <cell r="D246" t="str">
            <v>설화수 진설클렌징폼 견본 40ml (25AD 외캡</v>
          </cell>
          <cell r="E246">
            <v>230</v>
          </cell>
          <cell r="F246">
            <v>210</v>
          </cell>
          <cell r="G246">
            <v>210</v>
          </cell>
          <cell r="H246">
            <v>200</v>
          </cell>
          <cell r="I246">
            <v>195</v>
          </cell>
          <cell r="J246">
            <v>23</v>
          </cell>
          <cell r="K246">
            <v>45</v>
          </cell>
        </row>
        <row r="247">
          <cell r="A247" t="str">
            <v>SI1554_20241017</v>
          </cell>
          <cell r="B247" t="str">
            <v>유재호</v>
          </cell>
          <cell r="C247">
            <v>45588</v>
          </cell>
          <cell r="D247" t="str">
            <v>설화수 진설클렌징폼 견본 40ml (25AD 외캡</v>
          </cell>
          <cell r="E247">
            <v>230</v>
          </cell>
          <cell r="F247">
            <v>210</v>
          </cell>
          <cell r="G247">
            <v>210</v>
          </cell>
          <cell r="H247">
            <v>200</v>
          </cell>
          <cell r="I247">
            <v>195</v>
          </cell>
          <cell r="J247">
            <v>23</v>
          </cell>
          <cell r="K247">
            <v>45</v>
          </cell>
        </row>
        <row r="248">
          <cell r="A248" t="str">
            <v>SI1537_20241017</v>
          </cell>
          <cell r="B248" t="str">
            <v>유재호</v>
          </cell>
          <cell r="C248">
            <v>45588</v>
          </cell>
          <cell r="D248" t="str">
            <v>설화수 진설클렌징폼 150ml (25AD 캡장식</v>
          </cell>
          <cell r="E248">
            <v>230</v>
          </cell>
          <cell r="F248">
            <v>210</v>
          </cell>
          <cell r="G248">
            <v>210</v>
          </cell>
          <cell r="H248">
            <v>200</v>
          </cell>
          <cell r="I248">
            <v>195</v>
          </cell>
          <cell r="J248">
            <v>23</v>
          </cell>
          <cell r="K248">
            <v>23</v>
          </cell>
        </row>
        <row r="249">
          <cell r="A249" t="str">
            <v>SI1544_20241017</v>
          </cell>
          <cell r="B249" t="str">
            <v>유재호</v>
          </cell>
          <cell r="C249">
            <v>45594</v>
          </cell>
          <cell r="D249" t="str">
            <v>설화수 진설클렌징폼 견본 15ml (25AD 외캡</v>
          </cell>
          <cell r="E249">
            <v>210</v>
          </cell>
          <cell r="F249">
            <v>185</v>
          </cell>
          <cell r="G249">
            <v>185</v>
          </cell>
          <cell r="H249">
            <v>185</v>
          </cell>
          <cell r="I249">
            <v>180</v>
          </cell>
          <cell r="J249">
            <v>23</v>
          </cell>
          <cell r="K249">
            <v>23</v>
          </cell>
        </row>
        <row r="250">
          <cell r="A250" t="str">
            <v>SI1545_20241017</v>
          </cell>
          <cell r="B250" t="str">
            <v>유재호</v>
          </cell>
          <cell r="C250">
            <v>45594</v>
          </cell>
          <cell r="D250" t="str">
            <v>설화수 진설클렌징폼 견본 15ml (25AD 내캡</v>
          </cell>
          <cell r="E250">
            <v>210</v>
          </cell>
          <cell r="F250">
            <v>190</v>
          </cell>
          <cell r="G250">
            <v>190</v>
          </cell>
          <cell r="H250">
            <v>185</v>
          </cell>
          <cell r="J250">
            <v>23</v>
          </cell>
          <cell r="K250">
            <v>23</v>
          </cell>
        </row>
        <row r="251">
          <cell r="A251" t="str">
            <v>SI1522_20241028</v>
          </cell>
          <cell r="B251" t="str">
            <v>유재호</v>
          </cell>
          <cell r="C251">
            <v>45594</v>
          </cell>
          <cell r="D251" t="str">
            <v>아이오페 슈퍼바이탈 크림 50ML(24EC 내캡</v>
          </cell>
          <cell r="E251">
            <v>210</v>
          </cell>
          <cell r="F251">
            <v>185</v>
          </cell>
          <cell r="G251">
            <v>185</v>
          </cell>
          <cell r="H251">
            <v>185</v>
          </cell>
          <cell r="I251">
            <v>180</v>
          </cell>
          <cell r="J251">
            <v>23</v>
          </cell>
          <cell r="K251">
            <v>23</v>
          </cell>
        </row>
        <row r="252">
          <cell r="A252" t="str">
            <v>SI1518_20241028</v>
          </cell>
          <cell r="B252" t="str">
            <v>장세래</v>
          </cell>
          <cell r="C252">
            <v>45594</v>
          </cell>
          <cell r="D252" t="str">
            <v>아이오페 슈퍼바이탈 크림 50ML(24EC 외용기</v>
          </cell>
          <cell r="E252">
            <v>230</v>
          </cell>
          <cell r="F252">
            <v>225</v>
          </cell>
          <cell r="G252">
            <v>225</v>
          </cell>
          <cell r="H252">
            <v>225</v>
          </cell>
          <cell r="I252">
            <v>200</v>
          </cell>
          <cell r="J252">
            <v>23</v>
          </cell>
          <cell r="K252">
            <v>23</v>
          </cell>
          <cell r="L252" t="str">
            <v>슬라이드 온수 50℃</v>
          </cell>
        </row>
        <row r="253">
          <cell r="A253" t="str">
            <v>SI1520_20241028</v>
          </cell>
          <cell r="B253" t="str">
            <v>장세래</v>
          </cell>
          <cell r="C253">
            <v>45594</v>
          </cell>
          <cell r="D253" t="str">
            <v>아이오페 슈퍼바이탈 크림 50ML(24EC 용기받침</v>
          </cell>
          <cell r="E253">
            <v>230</v>
          </cell>
          <cell r="F253">
            <v>225</v>
          </cell>
          <cell r="G253">
            <v>225</v>
          </cell>
          <cell r="H253">
            <v>225</v>
          </cell>
          <cell r="I253">
            <v>200</v>
          </cell>
          <cell r="J253">
            <v>23</v>
          </cell>
          <cell r="K253">
            <v>23</v>
          </cell>
        </row>
        <row r="254">
          <cell r="A254" t="str">
            <v>SI1516_20241028</v>
          </cell>
          <cell r="B254" t="str">
            <v>장세래</v>
          </cell>
          <cell r="C254">
            <v>45594</v>
          </cell>
          <cell r="D254" t="str">
            <v>아이오페 슈퍼바이탈 크림 50ML(24EC 외캡</v>
          </cell>
          <cell r="E254">
            <v>230</v>
          </cell>
          <cell r="F254">
            <v>220</v>
          </cell>
          <cell r="G254">
            <v>220</v>
          </cell>
          <cell r="H254">
            <v>220</v>
          </cell>
          <cell r="I254">
            <v>200</v>
          </cell>
          <cell r="J254">
            <v>23</v>
          </cell>
          <cell r="K254">
            <v>23</v>
          </cell>
          <cell r="L254" t="str">
            <v>NO3만 온수50℃</v>
          </cell>
        </row>
        <row r="255">
          <cell r="A255" t="str">
            <v>SI1542_20241029</v>
          </cell>
          <cell r="B255" t="str">
            <v>장세래</v>
          </cell>
          <cell r="C255">
            <v>45596</v>
          </cell>
          <cell r="D255" t="str">
            <v>아이오페 스템Ⅲ 클리니컬 리커버리 크림 50ML(25) 내캡 사출</v>
          </cell>
          <cell r="E255">
            <v>220</v>
          </cell>
          <cell r="F255">
            <v>200</v>
          </cell>
          <cell r="G255">
            <v>195</v>
          </cell>
          <cell r="H255">
            <v>190</v>
          </cell>
          <cell r="I255">
            <v>180</v>
          </cell>
          <cell r="J255">
            <v>23</v>
          </cell>
          <cell r="K255">
            <v>23</v>
          </cell>
        </row>
        <row r="256">
          <cell r="A256" t="str">
            <v>SI1540_20241029</v>
          </cell>
          <cell r="B256" t="str">
            <v>장세래</v>
          </cell>
          <cell r="C256">
            <v>45596</v>
          </cell>
          <cell r="D256" t="str">
            <v>아이오페 스템Ⅲ 클리니컬 리커버리 크림 50ML(25) 캡장식 사출</v>
          </cell>
          <cell r="E256">
            <v>230</v>
          </cell>
          <cell r="F256">
            <v>230</v>
          </cell>
          <cell r="G256">
            <v>220</v>
          </cell>
          <cell r="H256">
            <v>220</v>
          </cell>
          <cell r="I256">
            <v>200</v>
          </cell>
          <cell r="J256">
            <v>23</v>
          </cell>
          <cell r="K256">
            <v>23</v>
          </cell>
        </row>
        <row r="257">
          <cell r="A257" t="str">
            <v>SI1541_20241029</v>
          </cell>
          <cell r="B257" t="str">
            <v>장세래</v>
          </cell>
          <cell r="C257">
            <v>45597</v>
          </cell>
          <cell r="D257" t="str">
            <v>아이오페 스템Ⅲ 클리니컬 리커버리 크림 50ML(25) 외캡 사출</v>
          </cell>
          <cell r="E257">
            <v>230</v>
          </cell>
          <cell r="F257">
            <v>230</v>
          </cell>
          <cell r="G257">
            <v>220</v>
          </cell>
          <cell r="H257">
            <v>220</v>
          </cell>
          <cell r="I257">
            <v>220</v>
          </cell>
          <cell r="J257">
            <v>23</v>
          </cell>
          <cell r="K257">
            <v>23</v>
          </cell>
          <cell r="L257" t="str">
            <v>온수 45도 사용</v>
          </cell>
        </row>
        <row r="258">
          <cell r="A258" t="str">
            <v>SI1557_20241026</v>
          </cell>
          <cell r="B258" t="str">
            <v>유재호</v>
          </cell>
          <cell r="C258">
            <v>45597</v>
          </cell>
          <cell r="D258" t="str">
            <v>라보에이치 모발강화 트리트먼트 200ml 50파이 원터치캡</v>
          </cell>
          <cell r="E258">
            <v>210</v>
          </cell>
          <cell r="F258">
            <v>190</v>
          </cell>
          <cell r="G258">
            <v>190</v>
          </cell>
          <cell r="H258">
            <v>190</v>
          </cell>
          <cell r="I258">
            <v>180</v>
          </cell>
          <cell r="J258">
            <v>23</v>
          </cell>
          <cell r="K258">
            <v>23</v>
          </cell>
        </row>
        <row r="259">
          <cell r="A259" t="str">
            <v>SI1559_20241026</v>
          </cell>
          <cell r="B259" t="str">
            <v>유재호</v>
          </cell>
          <cell r="C259">
            <v>45597</v>
          </cell>
          <cell r="D259" t="str">
            <v>라보에이치 모발강화 트리트먼트 300ml 60파이 원터치캡</v>
          </cell>
          <cell r="E259">
            <v>210</v>
          </cell>
          <cell r="F259">
            <v>190</v>
          </cell>
          <cell r="G259">
            <v>190</v>
          </cell>
          <cell r="H259">
            <v>190</v>
          </cell>
          <cell r="I259">
            <v>180</v>
          </cell>
          <cell r="J259">
            <v>23</v>
          </cell>
          <cell r="K259">
            <v>23</v>
          </cell>
        </row>
        <row r="260">
          <cell r="A260" t="str">
            <v>SI1542_20241014</v>
          </cell>
          <cell r="B260" t="str">
            <v>장세래</v>
          </cell>
          <cell r="C260">
            <v>45584</v>
          </cell>
          <cell r="D260" t="str">
            <v>아이오페 스템Ⅲ 클리니컬 리커버리 크림 50ML(25) 내캡 사출</v>
          </cell>
          <cell r="E260">
            <v>210</v>
          </cell>
          <cell r="F260">
            <v>200</v>
          </cell>
          <cell r="G260">
            <v>195</v>
          </cell>
          <cell r="H260">
            <v>190</v>
          </cell>
          <cell r="I260">
            <v>180</v>
          </cell>
          <cell r="J260">
            <v>23</v>
          </cell>
          <cell r="K260">
            <v>23</v>
          </cell>
        </row>
        <row r="261">
          <cell r="A261" t="str">
            <v>SI1560_20241026</v>
          </cell>
          <cell r="B261" t="str">
            <v>한창구</v>
          </cell>
          <cell r="C261">
            <v>45601</v>
          </cell>
          <cell r="D261" t="str">
            <v>라보에이치 모발강화 트리트먼트 300ml 60파이 장식</v>
          </cell>
          <cell r="E261">
            <v>200</v>
          </cell>
          <cell r="F261">
            <v>190</v>
          </cell>
          <cell r="G261">
            <v>185</v>
          </cell>
          <cell r="H261">
            <v>180</v>
          </cell>
          <cell r="I261">
            <v>170</v>
          </cell>
          <cell r="J261">
            <v>23</v>
          </cell>
          <cell r="K261">
            <v>23</v>
          </cell>
        </row>
        <row r="262">
          <cell r="A262" t="str">
            <v>SI1558_20241026</v>
          </cell>
          <cell r="B262" t="str">
            <v>한창구</v>
          </cell>
          <cell r="C262">
            <v>45601</v>
          </cell>
          <cell r="D262" t="str">
            <v>라보에이치 모발강화 트리트먼트 200ml 50파이 장식</v>
          </cell>
          <cell r="E262">
            <v>200</v>
          </cell>
          <cell r="F262">
            <v>190</v>
          </cell>
          <cell r="G262">
            <v>185</v>
          </cell>
          <cell r="H262">
            <v>180</v>
          </cell>
          <cell r="I262">
            <v>170</v>
          </cell>
          <cell r="J262">
            <v>23</v>
          </cell>
          <cell r="K262">
            <v>23</v>
          </cell>
        </row>
        <row r="263">
          <cell r="A263" t="str">
            <v>SI1553_20241101</v>
          </cell>
          <cell r="B263" t="str">
            <v>한창구</v>
          </cell>
          <cell r="C263">
            <v>45602</v>
          </cell>
          <cell r="D263" t="str">
            <v>설화수 진설클렌징폼 견본 40ml (25AD 내캡</v>
          </cell>
          <cell r="E263">
            <v>200</v>
          </cell>
          <cell r="F263">
            <v>190</v>
          </cell>
          <cell r="G263">
            <v>185</v>
          </cell>
          <cell r="H263">
            <v>180</v>
          </cell>
          <cell r="I263">
            <v>170</v>
          </cell>
          <cell r="J263">
            <v>23</v>
          </cell>
          <cell r="K263">
            <v>23</v>
          </cell>
        </row>
        <row r="264">
          <cell r="A264" t="str">
            <v>SI1554_20241031</v>
          </cell>
          <cell r="B264" t="str">
            <v>한창구</v>
          </cell>
          <cell r="C264">
            <v>45602</v>
          </cell>
          <cell r="D264" t="str">
            <v>설화수 진설클렌징폼 견본 40ml (25AD 외캡</v>
          </cell>
          <cell r="E264">
            <v>220</v>
          </cell>
          <cell r="F264">
            <v>210</v>
          </cell>
          <cell r="G264">
            <v>210</v>
          </cell>
          <cell r="H264">
            <v>210</v>
          </cell>
          <cell r="I264">
            <v>200</v>
          </cell>
          <cell r="J264">
            <v>23</v>
          </cell>
          <cell r="K264" t="str">
            <v>온수45</v>
          </cell>
        </row>
        <row r="265">
          <cell r="A265" t="str">
            <v>SI1519_20241108</v>
          </cell>
          <cell r="B265" t="str">
            <v>유재호</v>
          </cell>
          <cell r="C265">
            <v>45607</v>
          </cell>
          <cell r="D265" t="str">
            <v>아이오페 슈퍼바이탈 크림 50ML(24EC 내용기</v>
          </cell>
          <cell r="E265">
            <v>200</v>
          </cell>
          <cell r="F265">
            <v>185</v>
          </cell>
          <cell r="G265">
            <v>185</v>
          </cell>
          <cell r="H265">
            <v>180</v>
          </cell>
          <cell r="J265">
            <v>33</v>
          </cell>
          <cell r="K265">
            <v>33</v>
          </cell>
        </row>
        <row r="266">
          <cell r="A266" t="str">
            <v>SI1537_20241109</v>
          </cell>
          <cell r="B266" t="str">
            <v>유재호</v>
          </cell>
          <cell r="C266">
            <v>45608</v>
          </cell>
          <cell r="D266" t="str">
            <v>설화수 진설클렌징폼 150ml (25AD 캡장식</v>
          </cell>
          <cell r="E266">
            <v>220</v>
          </cell>
          <cell r="F266">
            <v>200</v>
          </cell>
          <cell r="G266">
            <v>200</v>
          </cell>
          <cell r="H266">
            <v>195</v>
          </cell>
          <cell r="I266">
            <v>190</v>
          </cell>
          <cell r="J266" t="str">
            <v>일반</v>
          </cell>
          <cell r="K266" t="str">
            <v>일반</v>
          </cell>
        </row>
        <row r="267">
          <cell r="A267" t="str">
            <v>SI1542_20241112</v>
          </cell>
          <cell r="B267" t="str">
            <v>유재호</v>
          </cell>
          <cell r="C267">
            <v>45609</v>
          </cell>
          <cell r="D267" t="str">
            <v>아이오페 스템Ⅲ 클리니컬 리커버리 크림 50ML(25) 내캡 사출</v>
          </cell>
          <cell r="E267">
            <v>220</v>
          </cell>
          <cell r="F267">
            <v>200</v>
          </cell>
          <cell r="G267">
            <v>195</v>
          </cell>
          <cell r="H267">
            <v>190</v>
          </cell>
          <cell r="I267">
            <v>180</v>
          </cell>
          <cell r="J267">
            <v>23</v>
          </cell>
          <cell r="K267">
            <v>23</v>
          </cell>
        </row>
        <row r="268">
          <cell r="A268" t="str">
            <v>SI1540_20241112</v>
          </cell>
          <cell r="B268" t="str">
            <v>유재호</v>
          </cell>
          <cell r="C268">
            <v>45609</v>
          </cell>
          <cell r="D268" t="str">
            <v>아이오페 스템Ⅲ 클리니컬 리커버리 크림 50ML(25) 캡장식 사출</v>
          </cell>
          <cell r="E268">
            <v>230</v>
          </cell>
          <cell r="F268">
            <v>230</v>
          </cell>
          <cell r="G268">
            <v>220</v>
          </cell>
          <cell r="H268">
            <v>220</v>
          </cell>
          <cell r="I268">
            <v>200</v>
          </cell>
        </row>
        <row r="269">
          <cell r="A269" t="str">
            <v>SI1554_20241112</v>
          </cell>
          <cell r="B269" t="str">
            <v>유재호</v>
          </cell>
          <cell r="C269">
            <v>45615</v>
          </cell>
          <cell r="D269" t="str">
            <v>설화수 진설클렌징폼 견본 40ml (25AD 외캡</v>
          </cell>
          <cell r="E269">
            <v>230</v>
          </cell>
          <cell r="F269">
            <v>210</v>
          </cell>
          <cell r="G269">
            <v>210</v>
          </cell>
          <cell r="H269">
            <v>220</v>
          </cell>
          <cell r="J269">
            <v>23</v>
          </cell>
          <cell r="K269" t="str">
            <v>온수55</v>
          </cell>
        </row>
        <row r="270">
          <cell r="A270" t="str">
            <v>SI1553_20241112</v>
          </cell>
          <cell r="B270" t="str">
            <v>유재호</v>
          </cell>
          <cell r="C270">
            <v>45615</v>
          </cell>
          <cell r="D270" t="str">
            <v>설화수 진설클렌징폼 견본 40ml (25AD 내캡</v>
          </cell>
          <cell r="E270">
            <v>210</v>
          </cell>
          <cell r="F270">
            <v>185</v>
          </cell>
          <cell r="G270">
            <v>185</v>
          </cell>
          <cell r="H270">
            <v>180</v>
          </cell>
          <cell r="J270">
            <v>23</v>
          </cell>
          <cell r="K270">
            <v>23</v>
          </cell>
        </row>
        <row r="271">
          <cell r="A271" t="str">
            <v>SI1539_20241108</v>
          </cell>
          <cell r="B271" t="str">
            <v>유재호</v>
          </cell>
          <cell r="C271">
            <v>45616</v>
          </cell>
          <cell r="D271" t="str">
            <v>설화수 진설클렌징폼 150ml (25AD 내캡</v>
          </cell>
          <cell r="E271">
            <v>210</v>
          </cell>
          <cell r="F271">
            <v>185</v>
          </cell>
          <cell r="G271">
            <v>185</v>
          </cell>
          <cell r="H271">
            <v>180</v>
          </cell>
          <cell r="J271">
            <v>23</v>
          </cell>
          <cell r="K271">
            <v>23</v>
          </cell>
        </row>
        <row r="272">
          <cell r="A272" t="str">
            <v>SI1544_20241118</v>
          </cell>
          <cell r="B272" t="str">
            <v>유재호</v>
          </cell>
          <cell r="C272">
            <v>45616</v>
          </cell>
          <cell r="D272" t="str">
            <v>설화수 진설클렌징폼 견본 15ml (25AD 외캡</v>
          </cell>
          <cell r="E272">
            <v>200</v>
          </cell>
          <cell r="F272">
            <v>185</v>
          </cell>
          <cell r="G272">
            <v>185</v>
          </cell>
          <cell r="H272">
            <v>180</v>
          </cell>
          <cell r="J272">
            <v>23</v>
          </cell>
          <cell r="K272">
            <v>23</v>
          </cell>
        </row>
        <row r="273">
          <cell r="A273" t="str">
            <v>SI1545_20241118</v>
          </cell>
          <cell r="B273" t="str">
            <v>유재호</v>
          </cell>
          <cell r="C273">
            <v>45616</v>
          </cell>
          <cell r="D273" t="str">
            <v>설화수 진설클렌징폼 견본 15ml (25AD 내캡</v>
          </cell>
          <cell r="E273">
            <v>210</v>
          </cell>
          <cell r="F273">
            <v>185</v>
          </cell>
          <cell r="G273">
            <v>185</v>
          </cell>
          <cell r="H273">
            <v>180</v>
          </cell>
          <cell r="J273">
            <v>23</v>
          </cell>
          <cell r="K273">
            <v>23</v>
          </cell>
        </row>
        <row r="274">
          <cell r="A274" t="str">
            <v>SI1557_20241115</v>
          </cell>
          <cell r="B274" t="str">
            <v>유재호</v>
          </cell>
          <cell r="C274">
            <v>45618</v>
          </cell>
          <cell r="D274" t="str">
            <v>라보에이치 모발강화 트리트먼트 200ml 50파이 원터치캡</v>
          </cell>
          <cell r="E274">
            <v>220</v>
          </cell>
          <cell r="F274">
            <v>190</v>
          </cell>
          <cell r="G274">
            <v>190</v>
          </cell>
          <cell r="H274">
            <v>190</v>
          </cell>
          <cell r="I274">
            <v>190</v>
          </cell>
          <cell r="J274">
            <v>23</v>
          </cell>
          <cell r="K274">
            <v>23</v>
          </cell>
        </row>
        <row r="275">
          <cell r="A275" t="str">
            <v>SI1559_20241115</v>
          </cell>
          <cell r="B275" t="str">
            <v>유재호</v>
          </cell>
          <cell r="C275">
            <v>45618</v>
          </cell>
          <cell r="D275" t="str">
            <v>라보에이치 모발강화 트리트먼트 300ml 60파이 원터치캡</v>
          </cell>
          <cell r="E275">
            <v>220</v>
          </cell>
          <cell r="F275">
            <v>190</v>
          </cell>
          <cell r="G275">
            <v>190</v>
          </cell>
          <cell r="H275">
            <v>190</v>
          </cell>
          <cell r="I275">
            <v>190</v>
          </cell>
          <cell r="J275">
            <v>23</v>
          </cell>
          <cell r="K275">
            <v>23</v>
          </cell>
        </row>
        <row r="276">
          <cell r="A276" t="str">
            <v>SI1519_20241122</v>
          </cell>
          <cell r="B276" t="str">
            <v>장세래</v>
          </cell>
          <cell r="C276">
            <v>45621</v>
          </cell>
          <cell r="D276" t="str">
            <v>아이오페 슈퍼바이탈 크림 50ML(24EC 내용기</v>
          </cell>
          <cell r="E276">
            <v>220</v>
          </cell>
          <cell r="F276">
            <v>190</v>
          </cell>
          <cell r="G276">
            <v>190</v>
          </cell>
          <cell r="H276">
            <v>190</v>
          </cell>
          <cell r="I276">
            <v>185</v>
          </cell>
          <cell r="J276">
            <v>23</v>
          </cell>
          <cell r="K276">
            <v>23</v>
          </cell>
        </row>
        <row r="277">
          <cell r="A277" t="str">
            <v>SI1554_20241120</v>
          </cell>
          <cell r="B277" t="str">
            <v>한창구</v>
          </cell>
          <cell r="C277">
            <v>45622</v>
          </cell>
          <cell r="D277" t="str">
            <v>설화수 진설클렌징폼 견본 40ml (25AD 외캡</v>
          </cell>
          <cell r="E277">
            <v>220</v>
          </cell>
          <cell r="F277">
            <v>200</v>
          </cell>
          <cell r="G277">
            <v>200</v>
          </cell>
          <cell r="H277">
            <v>195</v>
          </cell>
          <cell r="I277">
            <v>185</v>
          </cell>
          <cell r="J277" t="str">
            <v>온수65</v>
          </cell>
          <cell r="K277" t="str">
            <v>온수65</v>
          </cell>
        </row>
        <row r="278">
          <cell r="A278" t="str">
            <v>SI1554_20241127</v>
          </cell>
          <cell r="B278" t="str">
            <v>장세래</v>
          </cell>
          <cell r="C278">
            <v>45624</v>
          </cell>
          <cell r="D278" t="str">
            <v>설화수 진설클렌징폼 견본 40ml (25AD 외캡</v>
          </cell>
          <cell r="E278">
            <v>220</v>
          </cell>
          <cell r="F278">
            <v>200</v>
          </cell>
          <cell r="G278">
            <v>200</v>
          </cell>
          <cell r="H278">
            <v>195</v>
          </cell>
          <cell r="I278">
            <v>185</v>
          </cell>
          <cell r="J278" t="str">
            <v>온수75</v>
          </cell>
          <cell r="K278" t="str">
            <v>온수75</v>
          </cell>
        </row>
        <row r="279">
          <cell r="A279" t="str">
            <v>SI1558_20241115</v>
          </cell>
          <cell r="B279" t="str">
            <v>장세래</v>
          </cell>
          <cell r="C279">
            <v>45624</v>
          </cell>
          <cell r="D279" t="str">
            <v>라보에이치 모발강화 트리트먼트 200ml 50파이 장식</v>
          </cell>
          <cell r="E279">
            <v>210</v>
          </cell>
          <cell r="F279">
            <v>190</v>
          </cell>
          <cell r="G279">
            <v>190</v>
          </cell>
          <cell r="H279">
            <v>190</v>
          </cell>
          <cell r="I279">
            <v>180</v>
          </cell>
          <cell r="J279">
            <v>23</v>
          </cell>
          <cell r="K279">
            <v>23</v>
          </cell>
        </row>
        <row r="280">
          <cell r="A280" t="str">
            <v>SI1537_20241120</v>
          </cell>
          <cell r="B280" t="str">
            <v>유재호</v>
          </cell>
          <cell r="C280">
            <v>45630</v>
          </cell>
          <cell r="D280" t="str">
            <v>설화수 진설클렌징폼 150ml (25AD 캡장식</v>
          </cell>
          <cell r="E280">
            <v>220</v>
          </cell>
          <cell r="F280">
            <v>210</v>
          </cell>
          <cell r="G280">
            <v>205</v>
          </cell>
          <cell r="H280">
            <v>200</v>
          </cell>
          <cell r="I280">
            <v>185</v>
          </cell>
          <cell r="J280">
            <v>23</v>
          </cell>
          <cell r="K280">
            <v>23</v>
          </cell>
        </row>
        <row r="281">
          <cell r="A281" t="str">
            <v>SI1538_20241120</v>
          </cell>
          <cell r="B281" t="str">
            <v>유재호</v>
          </cell>
          <cell r="C281">
            <v>45630</v>
          </cell>
          <cell r="D281" t="str">
            <v>설화수 진설클렌징폼 150ml (25AD 외캡</v>
          </cell>
          <cell r="E281">
            <v>230</v>
          </cell>
          <cell r="F281">
            <v>230</v>
          </cell>
          <cell r="G281">
            <v>230</v>
          </cell>
          <cell r="H281">
            <v>230</v>
          </cell>
          <cell r="I281">
            <v>220</v>
          </cell>
          <cell r="J281">
            <v>23</v>
          </cell>
          <cell r="K281">
            <v>45</v>
          </cell>
        </row>
        <row r="282">
          <cell r="A282" t="str">
            <v>SI1539_20241120</v>
          </cell>
          <cell r="B282" t="str">
            <v>유재호</v>
          </cell>
          <cell r="C282">
            <v>45630</v>
          </cell>
          <cell r="D282" t="str">
            <v>설화수 진설클렌징폼 150ml (25AD 내캡</v>
          </cell>
          <cell r="E282">
            <v>200</v>
          </cell>
          <cell r="F282">
            <v>180</v>
          </cell>
          <cell r="G282">
            <v>180</v>
          </cell>
          <cell r="H282">
            <v>180</v>
          </cell>
          <cell r="I282">
            <v>180</v>
          </cell>
          <cell r="J282">
            <v>23</v>
          </cell>
          <cell r="K282">
            <v>23</v>
          </cell>
        </row>
        <row r="283">
          <cell r="A283" t="str">
            <v>SI1541_20241205</v>
          </cell>
          <cell r="B283" t="str">
            <v>장세래</v>
          </cell>
          <cell r="C283">
            <v>45635</v>
          </cell>
          <cell r="D283" t="str">
            <v>아이오페 스템Ⅲ 클리니컬 리커버리 크림 50ML(25) 외캡 사출</v>
          </cell>
          <cell r="E283">
            <v>240</v>
          </cell>
          <cell r="F283">
            <v>235</v>
          </cell>
          <cell r="G283">
            <v>235</v>
          </cell>
          <cell r="H283">
            <v>235</v>
          </cell>
          <cell r="I283">
            <v>230</v>
          </cell>
          <cell r="J283">
            <v>23</v>
          </cell>
          <cell r="K283">
            <v>23</v>
          </cell>
          <cell r="L283" t="str">
            <v>3,6번판 온수 60도</v>
          </cell>
        </row>
        <row r="284">
          <cell r="A284" t="str">
            <v>SI1540_20241205</v>
          </cell>
          <cell r="B284" t="str">
            <v>장세래</v>
          </cell>
          <cell r="C284">
            <v>45635</v>
          </cell>
          <cell r="D284" t="str">
            <v>아이오페 스템Ⅲ 클리니컬 리커버리 크림 50ML(25) 캡장식 사출</v>
          </cell>
          <cell r="E284">
            <v>240</v>
          </cell>
          <cell r="F284">
            <v>230</v>
          </cell>
          <cell r="G284">
            <v>230</v>
          </cell>
          <cell r="H284">
            <v>230</v>
          </cell>
          <cell r="I284">
            <v>220</v>
          </cell>
          <cell r="J284">
            <v>23</v>
          </cell>
          <cell r="K284">
            <v>23</v>
          </cell>
          <cell r="L284" t="str">
            <v>3번 온수 50도</v>
          </cell>
        </row>
        <row r="285">
          <cell r="A285" t="str">
            <v>SI1542_20241205</v>
          </cell>
          <cell r="B285" t="str">
            <v>유재호</v>
          </cell>
          <cell r="C285">
            <v>45637</v>
          </cell>
          <cell r="D285" t="str">
            <v>아이오페 스템Ⅲ 클리니컬 리커버리 크림 50ML(25) 내캡 사출</v>
          </cell>
          <cell r="E285">
            <v>200</v>
          </cell>
          <cell r="F285">
            <v>185</v>
          </cell>
          <cell r="G285">
            <v>185</v>
          </cell>
          <cell r="H285">
            <v>180</v>
          </cell>
          <cell r="J285">
            <v>23</v>
          </cell>
          <cell r="K285">
            <v>23</v>
          </cell>
        </row>
        <row r="286">
          <cell r="A286" t="str">
            <v>SI1540_20241211</v>
          </cell>
          <cell r="B286" t="str">
            <v>장세래</v>
          </cell>
          <cell r="C286">
            <v>45637</v>
          </cell>
          <cell r="D286" t="str">
            <v>아이오페 스템Ⅲ 클리니컬 리커버리 크림 50ML(25) 캡장식 사출</v>
          </cell>
          <cell r="E286">
            <v>240</v>
          </cell>
          <cell r="F286">
            <v>240</v>
          </cell>
          <cell r="G286">
            <v>240</v>
          </cell>
          <cell r="H286">
            <v>240</v>
          </cell>
          <cell r="I286">
            <v>220</v>
          </cell>
          <cell r="J286">
            <v>23</v>
          </cell>
          <cell r="K286">
            <v>23</v>
          </cell>
        </row>
        <row r="287">
          <cell r="A287" t="str">
            <v>SI1540_20241216</v>
          </cell>
          <cell r="B287" t="str">
            <v>장세래</v>
          </cell>
          <cell r="C287">
            <v>45642</v>
          </cell>
          <cell r="D287" t="str">
            <v>아이오페 스템Ⅲ 클리니컬 리커버리 크림 50ML(25) 캡장식 사출</v>
          </cell>
          <cell r="E287">
            <v>220</v>
          </cell>
          <cell r="F287">
            <v>210</v>
          </cell>
          <cell r="G287">
            <v>210</v>
          </cell>
          <cell r="H287">
            <v>210</v>
          </cell>
          <cell r="I287">
            <v>200</v>
          </cell>
          <cell r="J287">
            <v>45</v>
          </cell>
          <cell r="K287">
            <v>45</v>
          </cell>
          <cell r="L287" t="str">
            <v>상하측 온수 사용</v>
          </cell>
        </row>
        <row r="288">
          <cell r="A288" t="str">
            <v>SI1537_20241211</v>
          </cell>
          <cell r="B288" t="str">
            <v>장세래</v>
          </cell>
          <cell r="C288">
            <v>45642</v>
          </cell>
          <cell r="D288" t="str">
            <v>설화수 진설클렌징폼 150ml (25AD 캡장식</v>
          </cell>
          <cell r="E288">
            <v>220</v>
          </cell>
          <cell r="F288">
            <v>210</v>
          </cell>
          <cell r="G288">
            <v>210</v>
          </cell>
          <cell r="H288">
            <v>210</v>
          </cell>
          <cell r="I288">
            <v>200</v>
          </cell>
          <cell r="J288">
            <v>23</v>
          </cell>
          <cell r="K288">
            <v>23</v>
          </cell>
        </row>
        <row r="289">
          <cell r="A289" t="str">
            <v>SI1519_20241215</v>
          </cell>
          <cell r="B289" t="str">
            <v>한창구</v>
          </cell>
          <cell r="C289">
            <v>45643</v>
          </cell>
          <cell r="D289" t="str">
            <v>아이오페 슈퍼바이탈 크림 50ML(24EC 내용기</v>
          </cell>
          <cell r="E289">
            <v>220</v>
          </cell>
          <cell r="F289">
            <v>195</v>
          </cell>
          <cell r="G289">
            <v>190</v>
          </cell>
          <cell r="H289">
            <v>190</v>
          </cell>
          <cell r="I289">
            <v>180</v>
          </cell>
          <cell r="J289">
            <v>23</v>
          </cell>
          <cell r="K289">
            <v>23</v>
          </cell>
        </row>
        <row r="290">
          <cell r="A290" t="str">
            <v>SI1586_20241218</v>
          </cell>
          <cell r="B290" t="str">
            <v>장세래</v>
          </cell>
          <cell r="C290">
            <v>45644</v>
          </cell>
          <cell r="D290" t="str">
            <v>아이오페 슈퍼바이탈 크림 50ML(24EC 외용기</v>
          </cell>
          <cell r="E290">
            <v>210</v>
          </cell>
          <cell r="F290">
            <v>210</v>
          </cell>
          <cell r="G290">
            <v>210</v>
          </cell>
          <cell r="H290">
            <v>210</v>
          </cell>
          <cell r="I290">
            <v>200</v>
          </cell>
          <cell r="J290">
            <v>58</v>
          </cell>
          <cell r="K290">
            <v>58</v>
          </cell>
        </row>
        <row r="291">
          <cell r="A291" t="str">
            <v>SI1586_20241219</v>
          </cell>
          <cell r="B291" t="str">
            <v>장세래</v>
          </cell>
          <cell r="C291">
            <v>45644</v>
          </cell>
          <cell r="D291" t="str">
            <v>아이오페 슈퍼바이탈 크림 50ML(24EC 외용기</v>
          </cell>
          <cell r="E291">
            <v>210</v>
          </cell>
          <cell r="F291">
            <v>210</v>
          </cell>
          <cell r="G291">
            <v>210</v>
          </cell>
          <cell r="H291">
            <v>210</v>
          </cell>
          <cell r="I291">
            <v>200</v>
          </cell>
          <cell r="J291">
            <v>58</v>
          </cell>
          <cell r="K291">
            <v>58</v>
          </cell>
        </row>
        <row r="292">
          <cell r="A292" t="str">
            <v>SI1589_20241218</v>
          </cell>
          <cell r="B292" t="str">
            <v>한창구</v>
          </cell>
          <cell r="C292">
            <v>45645</v>
          </cell>
          <cell r="D292" t="str">
            <v>아이오페 슈퍼바이탈 크림 50ML(24EC 외캡</v>
          </cell>
          <cell r="E292">
            <v>235</v>
          </cell>
          <cell r="F292">
            <v>220</v>
          </cell>
          <cell r="G292">
            <v>210</v>
          </cell>
          <cell r="H292">
            <v>210</v>
          </cell>
          <cell r="I292">
            <v>210</v>
          </cell>
          <cell r="J292" t="str">
            <v>일반/온수</v>
          </cell>
          <cell r="K292" t="str">
            <v>일반</v>
          </cell>
          <cell r="L292" t="str">
            <v>온수55도</v>
          </cell>
        </row>
        <row r="293">
          <cell r="A293" t="str">
            <v>SI1589_20241219</v>
          </cell>
          <cell r="B293" t="str">
            <v>한창구</v>
          </cell>
          <cell r="C293">
            <v>45645</v>
          </cell>
          <cell r="D293" t="str">
            <v>아이오페 슈퍼바이탈 크림 50ML(24EC 외캡</v>
          </cell>
          <cell r="E293">
            <v>235</v>
          </cell>
          <cell r="F293">
            <v>220</v>
          </cell>
          <cell r="G293">
            <v>210</v>
          </cell>
          <cell r="H293">
            <v>210</v>
          </cell>
          <cell r="I293">
            <v>210</v>
          </cell>
          <cell r="J293" t="str">
            <v>일반/온수</v>
          </cell>
          <cell r="K293" t="str">
            <v>일반</v>
          </cell>
          <cell r="L293" t="str">
            <v>온수55도</v>
          </cell>
        </row>
        <row r="294">
          <cell r="A294" t="str">
            <v>SI1587_20241218</v>
          </cell>
          <cell r="B294" t="str">
            <v>민병태</v>
          </cell>
          <cell r="C294">
            <v>45645</v>
          </cell>
          <cell r="D294" t="str">
            <v>아이오페 슈퍼바이탈 크림 50ML(24EC 용기받침</v>
          </cell>
          <cell r="E294">
            <v>235</v>
          </cell>
          <cell r="F294">
            <v>220</v>
          </cell>
          <cell r="G294">
            <v>210</v>
          </cell>
          <cell r="H294">
            <v>210</v>
          </cell>
          <cell r="I294">
            <v>210</v>
          </cell>
          <cell r="K294">
            <v>50</v>
          </cell>
          <cell r="L294" t="str">
            <v>슬라이드(온수)</v>
          </cell>
        </row>
        <row r="295">
          <cell r="A295" t="str">
            <v>SI1587_20241219</v>
          </cell>
          <cell r="B295" t="str">
            <v>민병태</v>
          </cell>
          <cell r="C295">
            <v>45645</v>
          </cell>
          <cell r="D295" t="str">
            <v>아이오페 슈퍼바이탈 크림 50ML(24EC 용기받침</v>
          </cell>
          <cell r="E295">
            <v>220</v>
          </cell>
          <cell r="F295">
            <v>210</v>
          </cell>
          <cell r="G295">
            <v>210</v>
          </cell>
          <cell r="H295">
            <v>210</v>
          </cell>
          <cell r="I295">
            <v>210</v>
          </cell>
          <cell r="K295">
            <v>45</v>
          </cell>
          <cell r="L295" t="str">
            <v>슬라이드(온수)</v>
          </cell>
        </row>
        <row r="296">
          <cell r="A296" t="str">
            <v>SI1588_20241218</v>
          </cell>
          <cell r="B296" t="str">
            <v>남기갑</v>
          </cell>
          <cell r="C296">
            <v>45646</v>
          </cell>
          <cell r="D296" t="str">
            <v>아이오페 슈퍼바이탈 크림 50ML(24EC 캡장식</v>
          </cell>
          <cell r="E296">
            <v>230</v>
          </cell>
          <cell r="F296">
            <v>220</v>
          </cell>
          <cell r="G296">
            <v>210</v>
          </cell>
          <cell r="H296">
            <v>210</v>
          </cell>
          <cell r="I296">
            <v>200</v>
          </cell>
          <cell r="K296">
            <v>55</v>
          </cell>
        </row>
        <row r="297">
          <cell r="A297" t="str">
            <v>SI1588_20241219</v>
          </cell>
          <cell r="B297" t="str">
            <v>남기갑</v>
          </cell>
          <cell r="C297">
            <v>45646</v>
          </cell>
          <cell r="D297" t="str">
            <v>아이오페 슈퍼바이탈 크림 50ML(24EC 캡장식</v>
          </cell>
          <cell r="E297">
            <v>230</v>
          </cell>
          <cell r="F297">
            <v>220</v>
          </cell>
          <cell r="G297">
            <v>210</v>
          </cell>
          <cell r="H297">
            <v>210</v>
          </cell>
          <cell r="I297">
            <v>200</v>
          </cell>
          <cell r="K297">
            <v>55</v>
          </cell>
        </row>
        <row r="298">
          <cell r="A298" t="str">
            <v>SI1557_20241218</v>
          </cell>
          <cell r="B298" t="str">
            <v>유재호</v>
          </cell>
          <cell r="C298">
            <v>45649</v>
          </cell>
          <cell r="D298" t="str">
            <v>라보에이치 모발강화 트리트먼트 200ml 50파이 원터치캡</v>
          </cell>
          <cell r="E298">
            <v>210</v>
          </cell>
          <cell r="F298">
            <v>190</v>
          </cell>
          <cell r="G298">
            <v>190</v>
          </cell>
          <cell r="H298">
            <v>185</v>
          </cell>
          <cell r="I298">
            <v>180</v>
          </cell>
          <cell r="J298">
            <v>21</v>
          </cell>
          <cell r="K298">
            <v>21</v>
          </cell>
        </row>
        <row r="299">
          <cell r="A299" t="str">
            <v>SI1541_20241222</v>
          </cell>
          <cell r="B299" t="str">
            <v>한창구</v>
          </cell>
          <cell r="C299">
            <v>45650</v>
          </cell>
          <cell r="D299" t="str">
            <v>아이오페 스템Ⅲ 클리니컬 리커버리 크림 50ML(25) 외캡 사출</v>
          </cell>
          <cell r="E299">
            <v>230</v>
          </cell>
          <cell r="F299">
            <v>230</v>
          </cell>
          <cell r="G299">
            <v>230</v>
          </cell>
          <cell r="H299">
            <v>230</v>
          </cell>
          <cell r="I299">
            <v>200</v>
          </cell>
          <cell r="J299" t="str">
            <v>일반/온수</v>
          </cell>
          <cell r="K299" t="str">
            <v>일반/온수</v>
          </cell>
          <cell r="L299" t="str">
            <v>3번 6번 판 온수55도</v>
          </cell>
        </row>
        <row r="300">
          <cell r="A300" t="str">
            <v>SI1560_20241218</v>
          </cell>
          <cell r="B300" t="str">
            <v>유재호</v>
          </cell>
          <cell r="C300">
            <v>45651</v>
          </cell>
          <cell r="D300" t="str">
            <v>라보에이치 모발강화 트리트먼트 300ml 60파이 장식</v>
          </cell>
          <cell r="E300">
            <v>210</v>
          </cell>
          <cell r="F300">
            <v>190</v>
          </cell>
          <cell r="G300">
            <v>190</v>
          </cell>
          <cell r="H300">
            <v>190</v>
          </cell>
          <cell r="I300">
            <v>180</v>
          </cell>
          <cell r="J300">
            <v>21</v>
          </cell>
          <cell r="K300">
            <v>21</v>
          </cell>
        </row>
        <row r="301">
          <cell r="A301" t="str">
            <v>SI1558_20241218</v>
          </cell>
          <cell r="B301" t="str">
            <v>유재호</v>
          </cell>
          <cell r="C301">
            <v>45651</v>
          </cell>
          <cell r="D301" t="str">
            <v>라보에이치 모발강화 트리트먼트 200ml 50파이 장식</v>
          </cell>
          <cell r="E301">
            <v>210</v>
          </cell>
          <cell r="F301">
            <v>185</v>
          </cell>
          <cell r="G301">
            <v>185</v>
          </cell>
          <cell r="H301">
            <v>185</v>
          </cell>
          <cell r="I301">
            <v>180</v>
          </cell>
          <cell r="J301">
            <v>21</v>
          </cell>
          <cell r="K301">
            <v>21</v>
          </cell>
        </row>
        <row r="302">
          <cell r="A302" t="str">
            <v>SI1542_20241225</v>
          </cell>
          <cell r="B302" t="str">
            <v>한창구</v>
          </cell>
          <cell r="C302">
            <v>45651</v>
          </cell>
          <cell r="D302" t="str">
            <v>아이오페 스템Ⅲ 클리니컬 리커버리 크림 50ML(25) 내캡 사출</v>
          </cell>
          <cell r="E302">
            <v>210</v>
          </cell>
          <cell r="F302">
            <v>190</v>
          </cell>
          <cell r="G302">
            <v>190</v>
          </cell>
          <cell r="H302">
            <v>190</v>
          </cell>
          <cell r="I302">
            <v>190</v>
          </cell>
          <cell r="J302">
            <v>23</v>
          </cell>
          <cell r="K302">
            <v>23</v>
          </cell>
        </row>
        <row r="303">
          <cell r="A303" t="str">
            <v>SI1519_20250102</v>
          </cell>
          <cell r="B303" t="str">
            <v>장세래</v>
          </cell>
          <cell r="C303">
            <v>45660</v>
          </cell>
          <cell r="D303" t="str">
            <v>아이오페 슈퍼바이탈 크림 50ML(24EC 내용기</v>
          </cell>
          <cell r="E303">
            <v>220</v>
          </cell>
          <cell r="F303">
            <v>195</v>
          </cell>
          <cell r="G303">
            <v>190</v>
          </cell>
          <cell r="H303">
            <v>190</v>
          </cell>
          <cell r="I303">
            <v>180</v>
          </cell>
          <cell r="J303">
            <v>23</v>
          </cell>
          <cell r="K303">
            <v>23</v>
          </cell>
          <cell r="L303" t="str">
            <v>슬라이드 40도</v>
          </cell>
        </row>
        <row r="304">
          <cell r="A304" t="str">
            <v>SI1560_20250106</v>
          </cell>
          <cell r="B304" t="str">
            <v>한창구</v>
          </cell>
          <cell r="C304">
            <v>45663</v>
          </cell>
          <cell r="D304" t="str">
            <v>라보에이치 모발강화 트리트먼트 300ml 60파이 장식</v>
          </cell>
          <cell r="E304">
            <v>220</v>
          </cell>
          <cell r="F304">
            <v>190</v>
          </cell>
          <cell r="G304">
            <v>185</v>
          </cell>
          <cell r="H304">
            <v>185</v>
          </cell>
          <cell r="I304">
            <v>180</v>
          </cell>
          <cell r="J304">
            <v>21</v>
          </cell>
          <cell r="K304">
            <v>21</v>
          </cell>
        </row>
        <row r="305">
          <cell r="A305" t="str">
            <v>SI1541_20250106</v>
          </cell>
          <cell r="B305" t="str">
            <v>장세래</v>
          </cell>
          <cell r="C305">
            <v>45664</v>
          </cell>
          <cell r="D305" t="str">
            <v>아이오페 스템Ⅲ 클리니컬 리커버리 크림 50ML(25) 외캡 사출</v>
          </cell>
          <cell r="E305">
            <v>230</v>
          </cell>
          <cell r="F305">
            <v>230</v>
          </cell>
          <cell r="G305">
            <v>230</v>
          </cell>
          <cell r="H305">
            <v>230</v>
          </cell>
          <cell r="I305">
            <v>210</v>
          </cell>
          <cell r="J305" t="str">
            <v>온수/일반</v>
          </cell>
          <cell r="K305" t="str">
            <v>온수/일반</v>
          </cell>
          <cell r="L305" t="str">
            <v>3번판 58도  6번판 45도</v>
          </cell>
        </row>
        <row r="306">
          <cell r="A306" t="str">
            <v>SI1540_20250106</v>
          </cell>
          <cell r="B306" t="str">
            <v>장세래</v>
          </cell>
          <cell r="C306">
            <v>45664</v>
          </cell>
          <cell r="D306" t="str">
            <v>아이오페 스템Ⅲ 클리니컬 리커버리 크림 50ML(25) 캡장식 사출</v>
          </cell>
          <cell r="E306">
            <v>220</v>
          </cell>
          <cell r="F306">
            <v>210</v>
          </cell>
          <cell r="G306">
            <v>210</v>
          </cell>
          <cell r="H306">
            <v>210</v>
          </cell>
          <cell r="I306">
            <v>200</v>
          </cell>
          <cell r="J306">
            <v>45</v>
          </cell>
          <cell r="K306">
            <v>45</v>
          </cell>
          <cell r="L306" t="str">
            <v>사하측 온수 사용</v>
          </cell>
        </row>
        <row r="307">
          <cell r="A307" t="str">
            <v>SI1569_20250110</v>
          </cell>
          <cell r="B307" t="str">
            <v>장세래</v>
          </cell>
          <cell r="C307">
            <v>45666</v>
          </cell>
          <cell r="D307" t="str">
            <v>(수출)라네즈 유스콜라겐드링크 25ml*30EA 패키지변경 25AD 캡</v>
          </cell>
          <cell r="E307">
            <v>170</v>
          </cell>
          <cell r="F307">
            <v>170</v>
          </cell>
          <cell r="G307">
            <v>170</v>
          </cell>
          <cell r="H307">
            <v>170</v>
          </cell>
          <cell r="I307">
            <v>160</v>
          </cell>
          <cell r="M307" t="str">
            <v>1~36</v>
          </cell>
          <cell r="Q307">
            <v>200</v>
          </cell>
        </row>
        <row r="308">
          <cell r="A308" t="str">
            <v>SI1543_20250115</v>
          </cell>
          <cell r="B308" t="str">
            <v>한창구</v>
          </cell>
          <cell r="C308">
            <v>45673</v>
          </cell>
          <cell r="D308" t="str">
            <v>아이오페 스템Ⅲ 클리니컬 리커버리 크림 50ML(25) 내용기</v>
          </cell>
          <cell r="E308">
            <v>200</v>
          </cell>
          <cell r="F308">
            <v>195</v>
          </cell>
          <cell r="G308">
            <v>195</v>
          </cell>
          <cell r="H308">
            <v>190</v>
          </cell>
          <cell r="I308">
            <v>180</v>
          </cell>
          <cell r="J308">
            <v>21</v>
          </cell>
          <cell r="K308">
            <v>21</v>
          </cell>
        </row>
        <row r="309">
          <cell r="A309" t="str">
            <v>SI1582_20250116</v>
          </cell>
          <cell r="B309" t="str">
            <v>한창구</v>
          </cell>
          <cell r="C309">
            <v>45674</v>
          </cell>
          <cell r="D309" t="str">
            <v>미장센 헬로 젤리 팡팡 상용기(글로우쿠션 금형)</v>
          </cell>
          <cell r="E309">
            <v>220</v>
          </cell>
          <cell r="F309">
            <v>210</v>
          </cell>
          <cell r="G309">
            <v>200</v>
          </cell>
          <cell r="H309">
            <v>200</v>
          </cell>
          <cell r="I309">
            <v>190</v>
          </cell>
          <cell r="J309">
            <v>55</v>
          </cell>
          <cell r="K309">
            <v>21</v>
          </cell>
          <cell r="M309" t="str">
            <v>1~4</v>
          </cell>
          <cell r="N309" t="str">
            <v>5~9</v>
          </cell>
          <cell r="Q309">
            <v>235</v>
          </cell>
          <cell r="R309">
            <v>220</v>
          </cell>
        </row>
        <row r="310">
          <cell r="A310" t="str">
            <v>SI1583_20250116</v>
          </cell>
          <cell r="B310" t="str">
            <v>한창구</v>
          </cell>
          <cell r="C310">
            <v>45674</v>
          </cell>
          <cell r="D310" t="str">
            <v>미장센 헬로 젤리 팡팡 하용기</v>
          </cell>
          <cell r="E310">
            <v>220</v>
          </cell>
          <cell r="F310">
            <v>210</v>
          </cell>
          <cell r="G310">
            <v>200</v>
          </cell>
          <cell r="H310">
            <v>200</v>
          </cell>
          <cell r="I310">
            <v>190</v>
          </cell>
          <cell r="J310">
            <v>50</v>
          </cell>
          <cell r="K310">
            <v>21</v>
          </cell>
          <cell r="M310" t="str">
            <v>1~8</v>
          </cell>
          <cell r="N310" t="str">
            <v>9~16</v>
          </cell>
          <cell r="Q310">
            <v>230</v>
          </cell>
          <cell r="R310">
            <v>220</v>
          </cell>
        </row>
      </sheetData>
      <sheetData sheetId="9">
        <row r="1">
          <cell r="A1" t="str">
            <v>의뢰코드</v>
          </cell>
          <cell r="B1" t="str">
            <v>실험자</v>
          </cell>
          <cell r="C1" t="str">
            <v>실험일자</v>
          </cell>
          <cell r="D1" t="str">
            <v>제품명</v>
          </cell>
          <cell r="E1" t="str">
            <v>사출(충진)_1차</v>
          </cell>
          <cell r="F1" t="str">
            <v>냉각_1차</v>
          </cell>
          <cell r="G1" t="str">
            <v>회전_1차</v>
          </cell>
          <cell r="H1" t="str">
            <v>C/T_1차</v>
          </cell>
          <cell r="I1" t="str">
            <v>사출(충진)_2차</v>
          </cell>
          <cell r="J1" t="str">
            <v>냉각_2차</v>
          </cell>
          <cell r="K1" t="str">
            <v>회전_2차</v>
          </cell>
          <cell r="L1" t="str">
            <v>C/T_2차</v>
          </cell>
          <cell r="M1" t="str">
            <v>취출방법</v>
          </cell>
          <cell r="N1" t="str">
            <v>문제점_현상</v>
          </cell>
          <cell r="O1" t="str">
            <v>개선사항</v>
          </cell>
        </row>
        <row r="2">
          <cell r="A2" t="str">
            <v>SI1621_20260707</v>
          </cell>
          <cell r="B2" t="str">
            <v>유재호</v>
          </cell>
          <cell r="C2">
            <v>46210</v>
          </cell>
          <cell r="D2" t="str">
            <v>설화수 진설명작크림 60ML (26AD 숄더장식 사출</v>
          </cell>
          <cell r="E2">
            <v>2</v>
          </cell>
          <cell r="F2">
            <v>23</v>
          </cell>
          <cell r="H2">
            <v>49</v>
          </cell>
        </row>
        <row r="3">
          <cell r="A3" t="str">
            <v>SI1615_20260707</v>
          </cell>
          <cell r="B3" t="str">
            <v>유재호</v>
          </cell>
          <cell r="C3">
            <v>46210</v>
          </cell>
          <cell r="D3" t="str">
            <v>설화수 진설명작크림 60ML (26AD 캡장식-하단링</v>
          </cell>
          <cell r="E3">
            <v>0.8</v>
          </cell>
          <cell r="F3">
            <v>16</v>
          </cell>
          <cell r="G3">
            <v>24</v>
          </cell>
        </row>
        <row r="4">
          <cell r="A4" t="str">
            <v>SI1618_20260707</v>
          </cell>
          <cell r="B4" t="str">
            <v>한창구</v>
          </cell>
          <cell r="C4">
            <v>46210</v>
          </cell>
          <cell r="D4" t="str">
            <v>설화수 진설명작크림 60ML (26AD 내용기</v>
          </cell>
          <cell r="E4">
            <v>6.3</v>
          </cell>
          <cell r="F4">
            <v>20</v>
          </cell>
          <cell r="M4" t="str">
            <v>로보트</v>
          </cell>
        </row>
        <row r="5">
          <cell r="A5" t="str">
            <v>SI1674_20260703</v>
          </cell>
          <cell r="B5" t="str">
            <v/>
          </cell>
          <cell r="C5" t="str">
            <v/>
          </cell>
          <cell r="D5" t="str">
            <v/>
          </cell>
          <cell r="E5">
            <v>2.15</v>
          </cell>
          <cell r="F5">
            <v>12</v>
          </cell>
        </row>
        <row r="6">
          <cell r="A6" t="str">
            <v>SI1617_20260629</v>
          </cell>
          <cell r="B6" t="str">
            <v>유재호</v>
          </cell>
          <cell r="C6">
            <v>46202</v>
          </cell>
          <cell r="D6" t="str">
            <v>설화수 진설명작크림 60ML (26AD 중용기</v>
          </cell>
          <cell r="E6">
            <v>3.8</v>
          </cell>
          <cell r="F6">
            <v>18</v>
          </cell>
          <cell r="H6">
            <v>46</v>
          </cell>
          <cell r="N6" t="str">
            <v>증착 테스트용 내츄럴 / mb</v>
          </cell>
        </row>
        <row r="7">
          <cell r="A7" t="str">
            <v>SI1618_20260629</v>
          </cell>
          <cell r="B7" t="str">
            <v>유재호</v>
          </cell>
          <cell r="C7">
            <v>46202</v>
          </cell>
          <cell r="D7" t="str">
            <v>설화수 진설명작크림 60ML (26AD 내용기</v>
          </cell>
          <cell r="E7">
            <v>2.2000000000000002</v>
          </cell>
          <cell r="F7">
            <v>18</v>
          </cell>
          <cell r="H7">
            <v>44</v>
          </cell>
          <cell r="N7" t="str">
            <v>색상실험 DJ260616-21 2%, 4%</v>
          </cell>
        </row>
        <row r="8">
          <cell r="A8" t="str">
            <v>SI1619_20260625</v>
          </cell>
          <cell r="B8" t="str">
            <v>한창구</v>
          </cell>
          <cell r="C8">
            <v>46198</v>
          </cell>
          <cell r="D8" t="str">
            <v>설화수 진설명작크림 60ML (26AD 외용기</v>
          </cell>
          <cell r="E8">
            <v>31.16</v>
          </cell>
          <cell r="F8" t="str">
            <v>75초</v>
          </cell>
          <cell r="H8">
            <v>129.6</v>
          </cell>
          <cell r="M8" t="str">
            <v>로보트</v>
          </cell>
          <cell r="N8" t="str">
            <v>색상실험 MB : DJ260616-24 3%, 4%</v>
          </cell>
        </row>
        <row r="9">
          <cell r="A9" t="str">
            <v>SI1623_20260619</v>
          </cell>
          <cell r="B9" t="str">
            <v>장세래</v>
          </cell>
          <cell r="C9">
            <v>46192</v>
          </cell>
          <cell r="D9" t="str">
            <v>설화수 진설명작크림 리필 60ML (26AD 단캡</v>
          </cell>
          <cell r="E9">
            <v>3.6</v>
          </cell>
          <cell r="F9">
            <v>25</v>
          </cell>
          <cell r="M9" t="str">
            <v>로버트</v>
          </cell>
        </row>
        <row r="10">
          <cell r="A10" t="str">
            <v>SI1615_20260618</v>
          </cell>
          <cell r="B10" t="str">
            <v>장세래</v>
          </cell>
          <cell r="C10">
            <v>46191</v>
          </cell>
          <cell r="D10" t="str">
            <v>설화수 진설명작크림 60ML (26AD 캡장식-하단링</v>
          </cell>
          <cell r="E10">
            <v>1.04</v>
          </cell>
          <cell r="F10">
            <v>12</v>
          </cell>
          <cell r="M10" t="str">
            <v>로보트</v>
          </cell>
        </row>
        <row r="11">
          <cell r="A11" t="str">
            <v>SI1616_20260612</v>
          </cell>
          <cell r="B11">
            <v>0</v>
          </cell>
          <cell r="C11">
            <v>46185</v>
          </cell>
          <cell r="D11" t="str">
            <v>설화수 진설명작크림 60ML (26AD 사출덮개</v>
          </cell>
          <cell r="E11">
            <v>1.1000000000000001</v>
          </cell>
          <cell r="F11">
            <v>12</v>
          </cell>
          <cell r="N11" t="str">
            <v xml:space="preserve">
90°회전</v>
          </cell>
        </row>
        <row r="12">
          <cell r="A12" t="str">
            <v>SI1679_20260611</v>
          </cell>
          <cell r="B12" t="str">
            <v>장세래</v>
          </cell>
          <cell r="C12">
            <v>46184</v>
          </cell>
          <cell r="D12" t="str">
            <v>설화수 진설명작크림 60ML (27 AD)_암호 하케이스 사출</v>
          </cell>
          <cell r="E12">
            <v>1.56</v>
          </cell>
          <cell r="F12">
            <v>65</v>
          </cell>
          <cell r="M12" t="str">
            <v>로버트</v>
          </cell>
        </row>
        <row r="13">
          <cell r="A13" t="str">
            <v>SI1678_20260611</v>
          </cell>
          <cell r="B13" t="str">
            <v>장세래</v>
          </cell>
          <cell r="C13">
            <v>46184</v>
          </cell>
          <cell r="D13" t="str">
            <v>설화수 진설명작크림 60ML (27 AD)_암호 상케이스 사출</v>
          </cell>
          <cell r="E13">
            <v>6.58</v>
          </cell>
          <cell r="F13">
            <v>30</v>
          </cell>
          <cell r="H13">
            <v>53.8</v>
          </cell>
          <cell r="M13" t="str">
            <v>로보트</v>
          </cell>
        </row>
        <row r="14">
          <cell r="A14" t="str">
            <v>SI1618_20260610</v>
          </cell>
          <cell r="B14" t="str">
            <v>장세래</v>
          </cell>
          <cell r="C14">
            <v>46183</v>
          </cell>
          <cell r="D14" t="str">
            <v>설화수 진설명작크림 60ML (26AD 내용기</v>
          </cell>
          <cell r="E14">
            <v>4.46</v>
          </cell>
          <cell r="F14">
            <v>15</v>
          </cell>
          <cell r="M14" t="str">
            <v>로보트</v>
          </cell>
        </row>
        <row r="15">
          <cell r="A15" t="str">
            <v>SI1619_20260610</v>
          </cell>
          <cell r="B15" t="str">
            <v>장세래</v>
          </cell>
          <cell r="C15">
            <v>46183</v>
          </cell>
          <cell r="D15" t="str">
            <v>설화수 진설명작크림 60ML (26AD 외용기</v>
          </cell>
          <cell r="E15">
            <v>31.05</v>
          </cell>
          <cell r="F15">
            <v>75</v>
          </cell>
          <cell r="H15">
            <v>130.72999999999999</v>
          </cell>
          <cell r="M15" t="str">
            <v>로보트</v>
          </cell>
        </row>
        <row r="16">
          <cell r="A16" t="str">
            <v>SI1618_20260610</v>
          </cell>
          <cell r="B16" t="str">
            <v>장세래</v>
          </cell>
          <cell r="C16">
            <v>46183</v>
          </cell>
          <cell r="D16" t="str">
            <v>설화수 진설명작크림 60ML (26AD 내용기</v>
          </cell>
          <cell r="E16">
            <v>4.46</v>
          </cell>
          <cell r="F16">
            <v>15</v>
          </cell>
          <cell r="M16" t="str">
            <v>로보트</v>
          </cell>
        </row>
        <row r="17">
          <cell r="A17" t="str">
            <v>SI1619_20260608</v>
          </cell>
          <cell r="B17" t="str">
            <v>한창구</v>
          </cell>
          <cell r="C17">
            <v>46181</v>
          </cell>
          <cell r="D17" t="str">
            <v>설화수 진설명작크림 60ML (26AD 외용기</v>
          </cell>
          <cell r="E17">
            <v>13.2</v>
          </cell>
          <cell r="F17">
            <v>50</v>
          </cell>
          <cell r="H17">
            <v>78</v>
          </cell>
        </row>
        <row r="18">
          <cell r="A18" t="str">
            <v>SI1620_20260609</v>
          </cell>
          <cell r="B18" t="str">
            <v>유재호</v>
          </cell>
          <cell r="C18">
            <v>46182</v>
          </cell>
          <cell r="D18" t="str">
            <v>설화수 진설명작크림 60ML (26AD 용기받침 사출</v>
          </cell>
          <cell r="E18">
            <v>3.25</v>
          </cell>
          <cell r="F18">
            <v>20</v>
          </cell>
          <cell r="H18">
            <v>46</v>
          </cell>
        </row>
        <row r="19">
          <cell r="A19" t="str">
            <v>SI1621_20260609</v>
          </cell>
          <cell r="B19" t="str">
            <v>유재호</v>
          </cell>
          <cell r="C19">
            <v>46182</v>
          </cell>
          <cell r="D19" t="str">
            <v>설화수 진설명작크림 60ML (26AD 숄더장식 사출</v>
          </cell>
          <cell r="E19">
            <v>7.13</v>
          </cell>
          <cell r="F19">
            <v>20</v>
          </cell>
          <cell r="H19">
            <v>48.7</v>
          </cell>
          <cell r="M19" t="str">
            <v>로보트</v>
          </cell>
        </row>
        <row r="20">
          <cell r="A20" t="str">
            <v>SI1617_20260609</v>
          </cell>
          <cell r="B20" t="str">
            <v>유재호</v>
          </cell>
          <cell r="C20">
            <v>46182</v>
          </cell>
          <cell r="D20" t="str">
            <v>설화수 진설명작크림 60ML (26AD 중용기</v>
          </cell>
          <cell r="E20">
            <v>4.2</v>
          </cell>
          <cell r="F20">
            <v>18</v>
          </cell>
          <cell r="H20">
            <v>48</v>
          </cell>
        </row>
        <row r="21">
          <cell r="A21" t="str">
            <v>SI1674_20260414</v>
          </cell>
          <cell r="B21" t="str">
            <v>장세래</v>
          </cell>
          <cell r="C21">
            <v>46126</v>
          </cell>
          <cell r="D21" t="str">
            <v>미니슬림쿠션 접시 사출</v>
          </cell>
          <cell r="E21">
            <v>1.03</v>
          </cell>
          <cell r="F21">
            <v>12</v>
          </cell>
        </row>
        <row r="22">
          <cell r="A22" t="str">
            <v>SI1675_20260414</v>
          </cell>
          <cell r="B22" t="str">
            <v>장세래</v>
          </cell>
          <cell r="C22">
            <v>46126</v>
          </cell>
          <cell r="D22" t="str">
            <v>미니슬림쿠션 중용기 덮개 사출</v>
          </cell>
          <cell r="E22">
            <v>1.19</v>
          </cell>
          <cell r="F22">
            <v>15</v>
          </cell>
        </row>
        <row r="23">
          <cell r="A23" t="str">
            <v>SI1676_20260414</v>
          </cell>
          <cell r="B23" t="str">
            <v>장세래</v>
          </cell>
          <cell r="C23">
            <v>46126</v>
          </cell>
          <cell r="D23" t="str">
            <v>미니슬림쿠션 중용기 사출</v>
          </cell>
          <cell r="E23">
            <v>1.1399999999999999</v>
          </cell>
          <cell r="F23">
            <v>25</v>
          </cell>
        </row>
        <row r="24">
          <cell r="A24" t="str">
            <v>SI1673_20260413</v>
          </cell>
          <cell r="B24" t="str">
            <v>장세래</v>
          </cell>
          <cell r="C24">
            <v>46125</v>
          </cell>
          <cell r="D24" t="str">
            <v>미니슬림쿠션 하케이스 사출</v>
          </cell>
          <cell r="E24">
            <v>1.38</v>
          </cell>
          <cell r="F24">
            <v>15</v>
          </cell>
          <cell r="N24" t="str">
            <v>게이트방향 언더컷</v>
          </cell>
        </row>
        <row r="25">
          <cell r="A25" t="str">
            <v>SI1678_20260413</v>
          </cell>
          <cell r="B25" t="str">
            <v>장세래</v>
          </cell>
          <cell r="C25">
            <v>46125</v>
          </cell>
          <cell r="D25" t="str">
            <v>설화수 진설명작크림 60ML (27 AD)_암호 상케이스 사출</v>
          </cell>
          <cell r="E25">
            <v>2.2799999999999998</v>
          </cell>
          <cell r="F25">
            <v>30</v>
          </cell>
          <cell r="N25" t="str">
            <v>모서리쪽 파팅 burr
T1 부터
해결?</v>
          </cell>
        </row>
        <row r="26">
          <cell r="A26" t="str">
            <v>SI1679_20260413</v>
          </cell>
          <cell r="B26" t="str">
            <v>장세래</v>
          </cell>
          <cell r="C26">
            <v>46125</v>
          </cell>
          <cell r="D26" t="str">
            <v>설화수 진설명작크림 60ML (27 AD)_암호 하케이스 사출</v>
          </cell>
          <cell r="E26">
            <v>2.4700000000000002</v>
          </cell>
          <cell r="F26">
            <v>65</v>
          </cell>
          <cell r="N26" t="str">
            <v>CT 김</v>
          </cell>
        </row>
        <row r="27">
          <cell r="A27" t="str">
            <v>SI1676_20260403</v>
          </cell>
          <cell r="B27" t="str">
            <v>장세래</v>
          </cell>
          <cell r="C27">
            <v>46115</v>
          </cell>
          <cell r="D27" t="str">
            <v>미니슬림쿠션 중용기 사출</v>
          </cell>
          <cell r="E27">
            <v>1.1499999999999999</v>
          </cell>
          <cell r="F27">
            <v>25</v>
          </cell>
          <cell r="N27" t="str">
            <v xml:space="preserve">
블랙
백색</v>
          </cell>
        </row>
        <row r="28">
          <cell r="A28" t="str">
            <v>SI1673_20260401</v>
          </cell>
          <cell r="B28" t="str">
            <v>장세래</v>
          </cell>
          <cell r="C28">
            <v>46113</v>
          </cell>
          <cell r="D28" t="str">
            <v>미니슬림쿠션 하케이스 사출</v>
          </cell>
          <cell r="E28">
            <v>1.02</v>
          </cell>
          <cell r="F28">
            <v>15</v>
          </cell>
          <cell r="N28" t="str">
            <v xml:space="preserve">
백색
검정</v>
          </cell>
        </row>
        <row r="29">
          <cell r="A29" t="str">
            <v>SI1673_20260330</v>
          </cell>
          <cell r="B29" t="str">
            <v>한창구</v>
          </cell>
          <cell r="C29">
            <v>46111</v>
          </cell>
          <cell r="D29" t="str">
            <v>미니슬림쿠션 하케이스 사출</v>
          </cell>
          <cell r="E29">
            <v>3.32</v>
          </cell>
          <cell r="F29">
            <v>15</v>
          </cell>
          <cell r="H29">
            <v>37.5</v>
          </cell>
          <cell r="M29" t="str">
            <v>로보트</v>
          </cell>
          <cell r="N29" t="str">
            <v xml:space="preserve">
블랙
백색</v>
          </cell>
        </row>
        <row r="30">
          <cell r="A30" t="str">
            <v>SI1672_20260330</v>
          </cell>
          <cell r="B30" t="str">
            <v>한창구</v>
          </cell>
          <cell r="C30">
            <v>46111</v>
          </cell>
          <cell r="D30" t="str">
            <v>미니슬림쿠션 상케이스 사출</v>
          </cell>
          <cell r="E30">
            <v>6.63</v>
          </cell>
          <cell r="F30">
            <v>15</v>
          </cell>
          <cell r="H30">
            <v>40.5</v>
          </cell>
          <cell r="M30" t="str">
            <v>로보트</v>
          </cell>
          <cell r="N30" t="str">
            <v xml:space="preserve">
백색</v>
          </cell>
        </row>
        <row r="31">
          <cell r="A31" t="str">
            <v>SI1668_20260327</v>
          </cell>
          <cell r="B31" t="str">
            <v>장세래</v>
          </cell>
          <cell r="C31">
            <v>46108</v>
          </cell>
          <cell r="D31" t="str">
            <v>마몽드 어메이징딥 민트클렌징밤 90ml(26AD 원터치단캡 사출</v>
          </cell>
          <cell r="E31">
            <v>3.89</v>
          </cell>
          <cell r="F31">
            <v>40</v>
          </cell>
        </row>
        <row r="32">
          <cell r="A32" t="str">
            <v>SI1621_20260327</v>
          </cell>
          <cell r="B32" t="str">
            <v>한창구</v>
          </cell>
          <cell r="C32">
            <v>46108</v>
          </cell>
          <cell r="D32" t="str">
            <v>설화수 진설명작크림 60ML (26AD 숄더장식 사출</v>
          </cell>
          <cell r="E32">
            <v>7.58</v>
          </cell>
          <cell r="F32">
            <v>18</v>
          </cell>
          <cell r="H32">
            <v>45.39</v>
          </cell>
          <cell r="M32" t="str">
            <v>로보트</v>
          </cell>
        </row>
        <row r="33">
          <cell r="A33" t="str">
            <v>SI1617_20260326</v>
          </cell>
          <cell r="B33" t="str">
            <v>한창구</v>
          </cell>
          <cell r="C33">
            <v>46107</v>
          </cell>
          <cell r="D33" t="str">
            <v>설화수 진설명작크림 60ML (26AD 중용기</v>
          </cell>
          <cell r="E33">
            <v>7.23</v>
          </cell>
          <cell r="F33">
            <v>18</v>
          </cell>
          <cell r="I33">
            <v>40.1</v>
          </cell>
          <cell r="M33" t="str">
            <v>로보트</v>
          </cell>
        </row>
        <row r="34">
          <cell r="A34" t="str">
            <v>SI1675_20260326</v>
          </cell>
          <cell r="B34" t="str">
            <v>장세래</v>
          </cell>
          <cell r="C34">
            <v>46107</v>
          </cell>
          <cell r="D34" t="str">
            <v>미니슬림쿠션 중용기 덮개 사출</v>
          </cell>
          <cell r="E34">
            <v>1.89</v>
          </cell>
          <cell r="F34">
            <v>15</v>
          </cell>
          <cell r="N34" t="str">
            <v xml:space="preserve">
백색</v>
          </cell>
        </row>
        <row r="35">
          <cell r="A35" t="str">
            <v>SI1674_20260326</v>
          </cell>
          <cell r="B35" t="str">
            <v>장세래</v>
          </cell>
          <cell r="C35">
            <v>46107</v>
          </cell>
          <cell r="D35" t="str">
            <v>미니슬림쿠션 접시 사출</v>
          </cell>
          <cell r="E35">
            <v>1.77</v>
          </cell>
          <cell r="F35">
            <v>12</v>
          </cell>
          <cell r="N35" t="str">
            <v xml:space="preserve">
90° 회전
백색
90° 회전</v>
          </cell>
        </row>
        <row r="36">
          <cell r="A36" t="str">
            <v>SI1620_20260326</v>
          </cell>
          <cell r="B36" t="str">
            <v>한창구</v>
          </cell>
          <cell r="C36">
            <v>46107</v>
          </cell>
          <cell r="D36" t="str">
            <v>설화수 진설명작크림 60ML (26AD 용기받침 사출</v>
          </cell>
          <cell r="E36">
            <v>8.4499999999999993</v>
          </cell>
          <cell r="F36">
            <v>18</v>
          </cell>
          <cell r="H36">
            <v>43.9</v>
          </cell>
          <cell r="M36" t="str">
            <v>로보트</v>
          </cell>
        </row>
        <row r="37">
          <cell r="A37" t="str">
            <v>SI1679_20260325</v>
          </cell>
          <cell r="B37" t="str">
            <v>장세래</v>
          </cell>
          <cell r="C37">
            <v>46106</v>
          </cell>
          <cell r="D37" t="str">
            <v>설화수 진설명작크림 60ML (27 AD)_암호 하케이스 사출</v>
          </cell>
          <cell r="E37">
            <v>1.4</v>
          </cell>
          <cell r="F37">
            <v>65</v>
          </cell>
        </row>
        <row r="38">
          <cell r="A38" t="str">
            <v>SI1672_20260320</v>
          </cell>
          <cell r="B38" t="str">
            <v>장세래</v>
          </cell>
          <cell r="C38">
            <v>46101</v>
          </cell>
          <cell r="D38" t="str">
            <v>미니슬림쿠션 상케이스 사출</v>
          </cell>
          <cell r="E38">
            <v>1.61</v>
          </cell>
          <cell r="F38">
            <v>15</v>
          </cell>
          <cell r="N38" t="str">
            <v xml:space="preserve">
백색 - </v>
          </cell>
        </row>
        <row r="39">
          <cell r="A39" t="str">
            <v>SI1673_20260320</v>
          </cell>
          <cell r="B39" t="str">
            <v>장세래</v>
          </cell>
          <cell r="C39">
            <v>46101</v>
          </cell>
          <cell r="D39" t="str">
            <v>미니슬림쿠션 하케이스 사출</v>
          </cell>
          <cell r="E39">
            <v>1.69</v>
          </cell>
          <cell r="F39">
            <v>15</v>
          </cell>
          <cell r="N39" t="str">
            <v xml:space="preserve">
백색 - </v>
          </cell>
        </row>
        <row r="40">
          <cell r="A40" t="str">
            <v>SI1674_20260318</v>
          </cell>
          <cell r="B40" t="str">
            <v>장세래</v>
          </cell>
          <cell r="C40">
            <v>46099</v>
          </cell>
          <cell r="D40" t="str">
            <v>미니슬림쿠션 접시 사출</v>
          </cell>
          <cell r="E40">
            <v>1.3</v>
          </cell>
          <cell r="F40">
            <v>10</v>
          </cell>
          <cell r="N40" t="str">
            <v>슬라이드 파팅면 90도 회전
검정색 = 일반
백색 = 보압 : 2초, 60bar
백색 = 보압 : 2초, 65bar</v>
          </cell>
        </row>
        <row r="41">
          <cell r="A41" t="str">
            <v>SI1660_20260317</v>
          </cell>
          <cell r="B41" t="str">
            <v>유재호</v>
          </cell>
          <cell r="C41">
            <v>46098</v>
          </cell>
          <cell r="D41" t="str">
            <v>오딧세이 블랙 로션 130ML (26 EC)(착인) 내캡 사출</v>
          </cell>
          <cell r="E41">
            <v>2.8</v>
          </cell>
          <cell r="F41">
            <v>16</v>
          </cell>
          <cell r="H41">
            <v>55</v>
          </cell>
          <cell r="N41" t="str">
            <v xml:space="preserve">
기존 62.18
언더컷 29.70~80</v>
          </cell>
        </row>
        <row r="42">
          <cell r="A42" t="str">
            <v>SI1668_20260317</v>
          </cell>
          <cell r="B42" t="str">
            <v>장세래</v>
          </cell>
          <cell r="C42">
            <v>46098</v>
          </cell>
          <cell r="D42" t="str">
            <v>마몽드 어메이징딥 민트클렌징밤 90ml(26AD 원터치단캡 사출</v>
          </cell>
          <cell r="E42">
            <v>3.6</v>
          </cell>
          <cell r="F42">
            <v>40</v>
          </cell>
          <cell r="H42">
            <v>85.9</v>
          </cell>
          <cell r="N42" t="str">
            <v xml:space="preserve">
90° 회전┌
          │
          │
          └</v>
          </cell>
        </row>
        <row r="43">
          <cell r="A43" t="str">
            <v>SI1671_20260311</v>
          </cell>
          <cell r="B43" t="str">
            <v>한창구</v>
          </cell>
          <cell r="C43">
            <v>46092</v>
          </cell>
          <cell r="D43" t="str">
            <v>마몽드 어메이징딥 민트클렌징밤 90ml(26AD 단용기 사출</v>
          </cell>
          <cell r="E43">
            <v>21.3</v>
          </cell>
          <cell r="F43">
            <v>60</v>
          </cell>
          <cell r="H43">
            <v>100</v>
          </cell>
        </row>
        <row r="44">
          <cell r="A44" t="str">
            <v>SI1668_20260311</v>
          </cell>
          <cell r="B44" t="str">
            <v>장세래</v>
          </cell>
          <cell r="C44">
            <v>46092</v>
          </cell>
          <cell r="D44" t="str">
            <v>마몽드 어메이징딥 민트클렌징밤 90ml(26AD 원터치단캡 사출</v>
          </cell>
          <cell r="E44">
            <v>5.5</v>
          </cell>
          <cell r="F44">
            <v>40</v>
          </cell>
          <cell r="G44">
            <v>4</v>
          </cell>
        </row>
        <row r="45">
          <cell r="A45" t="str">
            <v>SI1632_20260310</v>
          </cell>
          <cell r="B45" t="str">
            <v>유재호</v>
          </cell>
          <cell r="C45">
            <v>46091</v>
          </cell>
          <cell r="D45" t="str">
            <v>설화수 진설명작크림 (견) 5ML (AD 단용기</v>
          </cell>
          <cell r="E45">
            <v>5.2</v>
          </cell>
          <cell r="F45">
            <v>16</v>
          </cell>
          <cell r="H45">
            <v>43</v>
          </cell>
        </row>
        <row r="46">
          <cell r="A46" t="str">
            <v>SI1671_20260306</v>
          </cell>
          <cell r="B46" t="str">
            <v>장세래</v>
          </cell>
          <cell r="C46">
            <v>46087</v>
          </cell>
          <cell r="D46" t="str">
            <v>마몽드 어메이징딥 민트클렌징밤 90ml(26AD 단용기 사출</v>
          </cell>
          <cell r="E46">
            <v>3.5</v>
          </cell>
          <cell r="F46">
            <v>7.5</v>
          </cell>
          <cell r="H46">
            <v>116.5</v>
          </cell>
          <cell r="M46" t="str">
            <v>로버트</v>
          </cell>
        </row>
        <row r="47">
          <cell r="A47" t="str">
            <v>SI1668_20260306</v>
          </cell>
          <cell r="B47" t="str">
            <v>장세래</v>
          </cell>
          <cell r="C47">
            <v>46087</v>
          </cell>
          <cell r="D47" t="str">
            <v>마몽드 어메이징딥 민트클렌징밤 90ml(26AD 원터치단캡 사출</v>
          </cell>
          <cell r="E47">
            <v>3.3</v>
          </cell>
          <cell r="F47">
            <v>35</v>
          </cell>
          <cell r="G47">
            <v>4</v>
          </cell>
          <cell r="H47">
            <v>77.400000000000006</v>
          </cell>
          <cell r="N47" t="str">
            <v>No1 하측 스토퍼 burr</v>
          </cell>
        </row>
        <row r="48">
          <cell r="A48" t="str">
            <v>SI1674_20260305</v>
          </cell>
          <cell r="B48" t="str">
            <v>장세래</v>
          </cell>
          <cell r="C48">
            <v>46086</v>
          </cell>
          <cell r="D48" t="str">
            <v>미니슬림쿠션 접시 사출</v>
          </cell>
          <cell r="E48">
            <v>1.08</v>
          </cell>
          <cell r="F48">
            <v>10</v>
          </cell>
          <cell r="N48" t="str">
            <v>슬라이드 파팅면 90° 회전</v>
          </cell>
        </row>
        <row r="49">
          <cell r="A49" t="str">
            <v>SI1675_20260305</v>
          </cell>
          <cell r="B49" t="str">
            <v>장세래</v>
          </cell>
          <cell r="C49">
            <v>46086</v>
          </cell>
          <cell r="D49" t="str">
            <v>미니슬림쿠션 중용기 덮개 사출</v>
          </cell>
          <cell r="E49">
            <v>1.65</v>
          </cell>
          <cell r="F49">
            <v>15</v>
          </cell>
        </row>
        <row r="50">
          <cell r="A50" t="str">
            <v>SI1676_20260305</v>
          </cell>
          <cell r="B50" t="str">
            <v>장세래</v>
          </cell>
          <cell r="C50">
            <v>46086</v>
          </cell>
          <cell r="D50" t="str">
            <v>미니슬림쿠션 중용기 사출</v>
          </cell>
          <cell r="E50">
            <v>1.65</v>
          </cell>
          <cell r="F50">
            <v>25</v>
          </cell>
        </row>
        <row r="51">
          <cell r="A51" t="str">
            <v>SI1679_20260304</v>
          </cell>
          <cell r="B51" t="str">
            <v>장세래</v>
          </cell>
          <cell r="C51">
            <v>46085</v>
          </cell>
          <cell r="D51" t="str">
            <v>설화수 진설명작크림 60ML (27 AD)_암호 하케이스 사출</v>
          </cell>
          <cell r="E51">
            <v>1.74</v>
          </cell>
          <cell r="F51">
            <v>65</v>
          </cell>
        </row>
        <row r="52">
          <cell r="A52" t="str">
            <v>SI1673_20260304</v>
          </cell>
          <cell r="B52" t="str">
            <v>장세래</v>
          </cell>
          <cell r="C52">
            <v>46085</v>
          </cell>
          <cell r="D52" t="str">
            <v>미니슬림쿠션 하케이스 사출</v>
          </cell>
          <cell r="E52">
            <v>1.02</v>
          </cell>
          <cell r="F52">
            <v>15</v>
          </cell>
        </row>
        <row r="53">
          <cell r="A53" t="str">
            <v>SI1672_20260304</v>
          </cell>
          <cell r="B53" t="str">
            <v>장세래</v>
          </cell>
          <cell r="C53">
            <v>46085</v>
          </cell>
          <cell r="D53" t="str">
            <v>미니슬림쿠션 상케이스 사출</v>
          </cell>
          <cell r="E53">
            <v>1.3</v>
          </cell>
          <cell r="F53">
            <v>15</v>
          </cell>
        </row>
        <row r="54">
          <cell r="A54" t="str">
            <v>SI1678_20260225</v>
          </cell>
          <cell r="B54" t="str">
            <v>장세래</v>
          </cell>
          <cell r="C54">
            <v>46078</v>
          </cell>
          <cell r="D54" t="str">
            <v>설화수 진설명작크림 60ML (27 AD)_암호 상케이스 사출</v>
          </cell>
          <cell r="E54">
            <v>2.9</v>
          </cell>
          <cell r="F54">
            <v>25</v>
          </cell>
          <cell r="M54" t="str">
            <v>수동</v>
          </cell>
          <cell r="N54" t="str">
            <v>언더컷 옆, 모서리쪽 burr</v>
          </cell>
        </row>
        <row r="55">
          <cell r="A55" t="str">
            <v>SI1616_20260225</v>
          </cell>
          <cell r="B55">
            <v>0</v>
          </cell>
          <cell r="C55">
            <v>46078</v>
          </cell>
          <cell r="D55" t="str">
            <v>설화수 진설명작크림 60ML (26AD 사출덮개</v>
          </cell>
          <cell r="E55">
            <v>2.5</v>
          </cell>
          <cell r="F55">
            <v>12</v>
          </cell>
        </row>
        <row r="56">
          <cell r="A56" t="str">
            <v>SI1633_20260220</v>
          </cell>
          <cell r="B56" t="str">
            <v>한창구</v>
          </cell>
          <cell r="C56">
            <v>46073</v>
          </cell>
          <cell r="D56" t="str">
            <v>설화수 진설명작크림 (견) 5ML (AD 용기받침</v>
          </cell>
          <cell r="E56">
            <v>7.78</v>
          </cell>
          <cell r="F56">
            <v>15</v>
          </cell>
          <cell r="H56">
            <v>40.6</v>
          </cell>
          <cell r="N56" t="str">
            <v>규격 작게 사출함.</v>
          </cell>
        </row>
        <row r="57">
          <cell r="A57" t="str">
            <v>SI1674_20260213</v>
          </cell>
          <cell r="B57" t="str">
            <v>장세래</v>
          </cell>
          <cell r="C57">
            <v>46066</v>
          </cell>
          <cell r="D57" t="str">
            <v>미니슬림쿠션 접시 사출</v>
          </cell>
          <cell r="E57">
            <v>1.45</v>
          </cell>
          <cell r="F57">
            <v>12</v>
          </cell>
          <cell r="N57" t="str">
            <v>언더컷 규격 : 52.35
배압조건
1: 2초 40bar
2: 2초 45bar</v>
          </cell>
        </row>
        <row r="58">
          <cell r="A58" t="str">
            <v>SI1640_20260213</v>
          </cell>
          <cell r="B58" t="str">
            <v>한창구</v>
          </cell>
          <cell r="C58">
            <v>46066</v>
          </cell>
          <cell r="D58" t="str">
            <v>헤라 시그니아 바이탈리프팅크림 소용량 15ml 26AD 내캡</v>
          </cell>
          <cell r="E58" t="str">
            <v>5.6/6.7</v>
          </cell>
          <cell r="F58">
            <v>14</v>
          </cell>
          <cell r="G58" t="str">
            <v>전:3.5</v>
          </cell>
          <cell r="H58" t="str">
            <v>45.5/47.6</v>
          </cell>
          <cell r="K58" t="str">
            <v>후:3.0</v>
          </cell>
          <cell r="M58" t="str">
            <v>로보트</v>
          </cell>
          <cell r="N58" t="str">
            <v>원료 : DW2360
      : POK = (    )</v>
          </cell>
        </row>
        <row r="59">
          <cell r="A59" t="str">
            <v>SI1676_20260210</v>
          </cell>
          <cell r="B59" t="str">
            <v>장세래</v>
          </cell>
          <cell r="C59">
            <v>46063</v>
          </cell>
          <cell r="D59" t="str">
            <v>미니슬림쿠션 중용기 사출</v>
          </cell>
          <cell r="E59">
            <v>0.73</v>
          </cell>
          <cell r="F59">
            <v>12</v>
          </cell>
        </row>
        <row r="60">
          <cell r="A60" t="str">
            <v>SI1668_20260210</v>
          </cell>
          <cell r="B60" t="str">
            <v>장세래</v>
          </cell>
          <cell r="C60">
            <v>46063</v>
          </cell>
          <cell r="D60" t="str">
            <v>마몽드 어메이징딥 민트클렌징밤 90ml(26AD 원터치단캡 사출</v>
          </cell>
          <cell r="E60">
            <v>3.05</v>
          </cell>
          <cell r="F60">
            <v>35</v>
          </cell>
          <cell r="M60" t="str">
            <v>수동</v>
          </cell>
        </row>
        <row r="61">
          <cell r="A61" t="str">
            <v>SI1616_20260209</v>
          </cell>
          <cell r="B61" t="str">
            <v>이종운</v>
          </cell>
          <cell r="C61">
            <v>46062</v>
          </cell>
          <cell r="D61" t="str">
            <v>설화수 진설명작크림 60ML (26AD 사출덮개</v>
          </cell>
          <cell r="E61">
            <v>7.72</v>
          </cell>
          <cell r="F61">
            <v>12</v>
          </cell>
          <cell r="H61">
            <v>3.41</v>
          </cell>
          <cell r="M61" t="str">
            <v>로보트</v>
          </cell>
        </row>
        <row r="62">
          <cell r="A62" t="str">
            <v>SI1629_20260209</v>
          </cell>
          <cell r="B62" t="str">
            <v>이종운</v>
          </cell>
          <cell r="C62">
            <v>46062</v>
          </cell>
          <cell r="D62" t="str">
            <v>설화수 진설명작크림 (견) 10ML (AD 사출덮개</v>
          </cell>
          <cell r="E62">
            <v>3.31</v>
          </cell>
          <cell r="F62">
            <v>13</v>
          </cell>
          <cell r="I62">
            <v>40.299999999999997</v>
          </cell>
          <cell r="M62" t="str">
            <v>로보트</v>
          </cell>
        </row>
        <row r="63">
          <cell r="A63" t="str">
            <v>SI1634_20260209</v>
          </cell>
          <cell r="B63" t="str">
            <v>이종운</v>
          </cell>
          <cell r="C63">
            <v>46062</v>
          </cell>
          <cell r="D63" t="str">
            <v>설화수 진설명작크림 (견) 5ML (AD 사출덮개</v>
          </cell>
          <cell r="E63">
            <v>1.4</v>
          </cell>
          <cell r="F63">
            <v>12</v>
          </cell>
          <cell r="H63">
            <v>34</v>
          </cell>
          <cell r="M63" t="str">
            <v>로보트</v>
          </cell>
        </row>
        <row r="64">
          <cell r="A64" t="str">
            <v>SI1667_20260206</v>
          </cell>
          <cell r="B64">
            <v>0</v>
          </cell>
          <cell r="C64">
            <v>46059</v>
          </cell>
          <cell r="D64" t="str">
            <v>오딧세이 로맨틱더클래식 스킨리파이너130ML(26EC(착인 내캡</v>
          </cell>
          <cell r="E64" t="str">
            <v>6/6.17</v>
          </cell>
          <cell r="F64">
            <v>16</v>
          </cell>
          <cell r="G64" t="str">
            <v>전:3.4</v>
          </cell>
          <cell r="H64" t="str">
            <v>49.1/47.8</v>
          </cell>
          <cell r="K64" t="str">
            <v>후:3.0</v>
          </cell>
          <cell r="M64" t="str">
            <v>로보트</v>
          </cell>
        </row>
        <row r="65">
          <cell r="A65" t="str">
            <v>SI1674_20260204</v>
          </cell>
          <cell r="B65" t="str">
            <v>장세래</v>
          </cell>
          <cell r="C65">
            <v>46057</v>
          </cell>
          <cell r="D65" t="str">
            <v>미니슬림쿠션 접시 사출</v>
          </cell>
          <cell r="E65">
            <v>1.2</v>
          </cell>
          <cell r="F65">
            <v>15</v>
          </cell>
          <cell r="N65" t="str">
            <v xml:space="preserve">1차 : 보압 시간 1.5초 압력 60bar
2차 : 보압 시간 1.5초 압력 80bar
</v>
          </cell>
        </row>
        <row r="66">
          <cell r="A66" t="str">
            <v>SI1675_20260203</v>
          </cell>
          <cell r="B66" t="str">
            <v>장세래</v>
          </cell>
          <cell r="C66">
            <v>46056</v>
          </cell>
          <cell r="D66" t="str">
            <v>미니슬림쿠션 중용기 덮개 사출</v>
          </cell>
          <cell r="E66">
            <v>0.8</v>
          </cell>
          <cell r="F66">
            <v>15</v>
          </cell>
        </row>
        <row r="67">
          <cell r="A67" t="str">
            <v>SI1676_20260203</v>
          </cell>
          <cell r="B67" t="str">
            <v>장세래</v>
          </cell>
          <cell r="C67">
            <v>46056</v>
          </cell>
          <cell r="D67" t="str">
            <v>미니슬림쿠션 중용기 사출</v>
          </cell>
          <cell r="E67">
            <v>0.8</v>
          </cell>
          <cell r="F67">
            <v>12</v>
          </cell>
        </row>
        <row r="68">
          <cell r="A68" t="str">
            <v>SI1673_20260202</v>
          </cell>
          <cell r="B68" t="str">
            <v>장세래</v>
          </cell>
          <cell r="C68">
            <v>46055</v>
          </cell>
          <cell r="D68" t="str">
            <v>미니슬림쿠션 하케이스 사출</v>
          </cell>
          <cell r="E68">
            <v>1.44</v>
          </cell>
          <cell r="F68">
            <v>15</v>
          </cell>
        </row>
        <row r="69">
          <cell r="A69" t="str">
            <v>SI1672_20260202</v>
          </cell>
          <cell r="B69" t="str">
            <v>장세래</v>
          </cell>
          <cell r="C69">
            <v>46055</v>
          </cell>
          <cell r="D69" t="str">
            <v>미니슬림쿠션 상케이스 사출</v>
          </cell>
          <cell r="E69">
            <v>2.5499999999999998</v>
          </cell>
          <cell r="F69">
            <v>15</v>
          </cell>
          <cell r="M69" t="str">
            <v>로버트</v>
          </cell>
        </row>
        <row r="70">
          <cell r="A70" t="str">
            <v>SI1675_20260130</v>
          </cell>
          <cell r="B70" t="str">
            <v>장세래</v>
          </cell>
          <cell r="C70">
            <v>46052</v>
          </cell>
          <cell r="D70" t="str">
            <v>미니슬림쿠션 중용기 덮개 사출</v>
          </cell>
          <cell r="E70">
            <v>0.8</v>
          </cell>
          <cell r="F70">
            <v>15</v>
          </cell>
          <cell r="M70" t="str">
            <v>로버트</v>
          </cell>
          <cell r="N70" t="str">
            <v>1. PP , +
2. PP + PE - 성형 조건표
3. PP + PE , -</v>
          </cell>
        </row>
        <row r="71">
          <cell r="A71" t="str">
            <v>SI1676_20260130</v>
          </cell>
          <cell r="B71" t="str">
            <v>장세래</v>
          </cell>
          <cell r="C71">
            <v>46052</v>
          </cell>
          <cell r="D71" t="str">
            <v>미니슬림쿠션 중용기 사출</v>
          </cell>
          <cell r="E71">
            <v>0.8</v>
          </cell>
          <cell r="F71">
            <v>12</v>
          </cell>
          <cell r="M71" t="str">
            <v>수동</v>
          </cell>
          <cell r="N71" t="str">
            <v>1. 보압 2초 - 50bar
2. 보압 2초 - 60bar
3. 보압 2초 - 70bar - 성형 조건표</v>
          </cell>
        </row>
        <row r="72">
          <cell r="A72" t="str">
            <v>SI1629_20260128</v>
          </cell>
          <cell r="B72" t="str">
            <v>한창구</v>
          </cell>
          <cell r="C72">
            <v>46050</v>
          </cell>
          <cell r="D72" t="str">
            <v>설화수 진설명작크림 (견) 10ML (AD 사출덮개</v>
          </cell>
          <cell r="E72">
            <v>1.958</v>
          </cell>
          <cell r="F72">
            <v>13</v>
          </cell>
          <cell r="H72">
            <v>40.26</v>
          </cell>
          <cell r="M72" t="str">
            <v>보로트 취출</v>
          </cell>
        </row>
        <row r="73">
          <cell r="A73" t="str">
            <v>SI1671_20260126</v>
          </cell>
          <cell r="B73" t="str">
            <v>유재호</v>
          </cell>
          <cell r="C73">
            <v>46048</v>
          </cell>
          <cell r="D73" t="str">
            <v>마몽드 어메이징딥 민트클렌징밤 90ml(26AD 단용기 사출</v>
          </cell>
          <cell r="E73">
            <v>3.24</v>
          </cell>
          <cell r="F73">
            <v>75</v>
          </cell>
          <cell r="H73">
            <v>114.2</v>
          </cell>
          <cell r="N73" t="str">
            <v>3번 게이트 - 불량</v>
          </cell>
        </row>
        <row r="74">
          <cell r="A74" t="str">
            <v>SI1673_20260123</v>
          </cell>
          <cell r="B74" t="str">
            <v>장세래</v>
          </cell>
          <cell r="C74">
            <v>46045</v>
          </cell>
          <cell r="D74" t="str">
            <v>미니슬림쿠션 하케이스 사출</v>
          </cell>
          <cell r="E74">
            <v>1.05</v>
          </cell>
          <cell r="F74">
            <v>15</v>
          </cell>
        </row>
        <row r="75">
          <cell r="A75" t="str">
            <v>SI1672_20260123</v>
          </cell>
          <cell r="B75" t="str">
            <v>장세래</v>
          </cell>
          <cell r="C75">
            <v>46045</v>
          </cell>
          <cell r="D75" t="str">
            <v>미니슬림쿠션 상케이스 사출</v>
          </cell>
          <cell r="E75">
            <v>3.2</v>
          </cell>
          <cell r="F75">
            <v>15</v>
          </cell>
          <cell r="M75" t="str">
            <v>로버트</v>
          </cell>
          <cell r="N75" t="str">
            <v>게이트 통과시 사출압 많이 받음
저속 사출시 측면 미성형 핀조립구 표면 흐름자국</v>
          </cell>
        </row>
        <row r="76">
          <cell r="A76" t="str">
            <v>SI1675_20260123</v>
          </cell>
          <cell r="B76" t="str">
            <v>장세래</v>
          </cell>
          <cell r="C76">
            <v>46045</v>
          </cell>
          <cell r="D76" t="str">
            <v>미니슬림쿠션 중용기 덮개 사출</v>
          </cell>
          <cell r="E76">
            <v>1.3</v>
          </cell>
          <cell r="F76">
            <v>15</v>
          </cell>
          <cell r="N76" t="str">
            <v>PP/규격키움/PP+PE 사출</v>
          </cell>
        </row>
        <row r="77">
          <cell r="A77" t="str">
            <v>SI1625_20260123</v>
          </cell>
          <cell r="B77" t="str">
            <v>한창구</v>
          </cell>
          <cell r="C77">
            <v>46045</v>
          </cell>
          <cell r="D77" t="str">
            <v>설화수 진설명작크림 (견) 10ML (AD 외캡</v>
          </cell>
          <cell r="E77">
            <v>9.52</v>
          </cell>
          <cell r="F77">
            <v>20</v>
          </cell>
          <cell r="H77">
            <v>55.2</v>
          </cell>
          <cell r="M77" t="str">
            <v>로보트</v>
          </cell>
        </row>
        <row r="78">
          <cell r="A78" t="str">
            <v>SI1627_20260120</v>
          </cell>
          <cell r="B78" t="str">
            <v>한창구</v>
          </cell>
          <cell r="C78">
            <v>46042</v>
          </cell>
          <cell r="D78" t="str">
            <v>설화수 진설명작크림 (견) 10ML (AD 용기받침</v>
          </cell>
          <cell r="E78">
            <v>7.1</v>
          </cell>
          <cell r="F78">
            <v>20</v>
          </cell>
          <cell r="H78">
            <v>47.2</v>
          </cell>
          <cell r="M78" t="str">
            <v>로보트</v>
          </cell>
        </row>
        <row r="79">
          <cell r="A79" t="str">
            <v>SI1614_20260116</v>
          </cell>
          <cell r="B79" t="str">
            <v>한창구</v>
          </cell>
          <cell r="C79">
            <v>46038</v>
          </cell>
          <cell r="D79" t="str">
            <v>설화수 진설명작크림 60ML (26AD 내캡</v>
          </cell>
          <cell r="E79">
            <v>8.1</v>
          </cell>
          <cell r="F79">
            <v>20</v>
          </cell>
          <cell r="G79" t="str">
            <v>전:9.0</v>
          </cell>
          <cell r="H79">
            <v>70.3</v>
          </cell>
          <cell r="K79" t="str">
            <v>후:8.0</v>
          </cell>
          <cell r="M79" t="str">
            <v>로보트</v>
          </cell>
        </row>
        <row r="80">
          <cell r="A80" t="str">
            <v>SI1674_20260113</v>
          </cell>
          <cell r="B80" t="str">
            <v>장세래</v>
          </cell>
          <cell r="C80">
            <v>46035</v>
          </cell>
          <cell r="D80" t="str">
            <v>미니슬림쿠션 접시 사출</v>
          </cell>
          <cell r="E80">
            <v>1.2</v>
          </cell>
          <cell r="F80">
            <v>15</v>
          </cell>
          <cell r="M80" t="str">
            <v>수동</v>
          </cell>
        </row>
        <row r="81">
          <cell r="A81" t="str">
            <v>SI1673_20260113</v>
          </cell>
          <cell r="B81" t="str">
            <v>장세래</v>
          </cell>
          <cell r="C81">
            <v>46035</v>
          </cell>
          <cell r="D81" t="str">
            <v>미니슬림쿠션 하케이스 사출</v>
          </cell>
          <cell r="E81">
            <v>1.3</v>
          </cell>
          <cell r="F81">
            <v>15</v>
          </cell>
          <cell r="M81" t="str">
            <v>수동</v>
          </cell>
        </row>
        <row r="82">
          <cell r="A82" t="str">
            <v>SI1672_20260113</v>
          </cell>
          <cell r="B82" t="str">
            <v>장세래</v>
          </cell>
          <cell r="C82">
            <v>46035</v>
          </cell>
          <cell r="D82" t="str">
            <v>미니슬림쿠션 상케이스 사출</v>
          </cell>
          <cell r="E82">
            <v>2.5</v>
          </cell>
          <cell r="F82">
            <v>15</v>
          </cell>
          <cell r="M82" t="str">
            <v>수동</v>
          </cell>
          <cell r="N82" t="str">
            <v>터널게이드 수거 흐름시 압력 많이 받음</v>
          </cell>
        </row>
        <row r="83">
          <cell r="A83" t="str">
            <v>SI1669_20251218</v>
          </cell>
          <cell r="B83" t="str">
            <v>한창구</v>
          </cell>
          <cell r="C83">
            <v>46009</v>
          </cell>
          <cell r="D83" t="str">
            <v>마몽드 어메이징딥 민트클렌징밤 90ml(26AD 스파출러대 사출</v>
          </cell>
          <cell r="E83">
            <v>6.57</v>
          </cell>
          <cell r="F83">
            <v>18</v>
          </cell>
          <cell r="H83">
            <v>37.9</v>
          </cell>
          <cell r="M83" t="str">
            <v>로보트</v>
          </cell>
        </row>
        <row r="84">
          <cell r="A84" t="str">
            <v>SI1669_20260113</v>
          </cell>
          <cell r="B84" t="str">
            <v>남기갑</v>
          </cell>
          <cell r="C84">
            <v>46035</v>
          </cell>
          <cell r="D84" t="str">
            <v>마몽드 어메이징딥 민트클렌징밤 90ml(26AD 스파출러대 사출</v>
          </cell>
          <cell r="E84">
            <v>1.48</v>
          </cell>
          <cell r="F84">
            <v>16</v>
          </cell>
        </row>
        <row r="85">
          <cell r="A85" t="str">
            <v>SI1668_20260112</v>
          </cell>
          <cell r="B85" t="str">
            <v>유재호</v>
          </cell>
          <cell r="C85">
            <v>46034</v>
          </cell>
          <cell r="D85" t="str">
            <v>마몽드 어메이징딥 민트클렌징밤 90ml(26AD 원터치단캡 사출</v>
          </cell>
          <cell r="E85">
            <v>3.9</v>
          </cell>
          <cell r="F85">
            <v>35</v>
          </cell>
          <cell r="N85" t="str">
            <v>상측 수축 잡으면 하단 스토퍼 바리 발생</v>
          </cell>
        </row>
        <row r="86">
          <cell r="A86" t="str">
            <v>SI1671_20260112</v>
          </cell>
          <cell r="B86" t="str">
            <v>장세래</v>
          </cell>
          <cell r="C86">
            <v>46034</v>
          </cell>
          <cell r="D86" t="str">
            <v>마몽드 어메이징딥 민트클렌징밤 90ml(26AD 단용기 사출</v>
          </cell>
          <cell r="E86">
            <v>6.9</v>
          </cell>
          <cell r="F86">
            <v>75</v>
          </cell>
          <cell r="H86">
            <v>108.5</v>
          </cell>
          <cell r="M86" t="str">
            <v>로버트</v>
          </cell>
          <cell r="N86" t="str">
            <v>1. 4번만 웰드 그대로
2. 어께부 파팅
3. 코어 1번판,2번판 위치 변경됨
(1,2,3,4 =&gt;2,1,3,4,)
4. 수축을 잡으면 파팅이 생김</v>
          </cell>
        </row>
        <row r="87">
          <cell r="A87" t="str">
            <v>SI1661_20251225</v>
          </cell>
          <cell r="B87" t="str">
            <v>장세래</v>
          </cell>
          <cell r="C87">
            <v>46016</v>
          </cell>
          <cell r="D87" t="str">
            <v>해피바스 달잠 밀키라벤더 바디로션500g+괄사단품기획(OY 마사져대 사출</v>
          </cell>
          <cell r="E87">
            <v>26.4</v>
          </cell>
          <cell r="F87">
            <v>180</v>
          </cell>
          <cell r="N87" t="str">
            <v>외측면 파팅 Burr
외관 수축
디스크 게이트 수정 요청(두께 적음)</v>
          </cell>
        </row>
        <row r="88">
          <cell r="A88" t="str">
            <v>SI1626_20251223</v>
          </cell>
          <cell r="B88" t="str">
            <v>유재호</v>
          </cell>
          <cell r="C88">
            <v>46014</v>
          </cell>
          <cell r="D88" t="str">
            <v>설화수 진설명작크림 (견) 10ML (AD 내캡</v>
          </cell>
          <cell r="E88">
            <v>4.9000000000000004</v>
          </cell>
          <cell r="F88">
            <v>16</v>
          </cell>
          <cell r="H88">
            <v>49</v>
          </cell>
        </row>
        <row r="89">
          <cell r="A89" t="str">
            <v>SI1631_20251223</v>
          </cell>
          <cell r="B89" t="str">
            <v>유재호</v>
          </cell>
          <cell r="C89">
            <v>46014</v>
          </cell>
          <cell r="D89" t="str">
            <v>설화수 진설명작크림 (견) 5ML (AD 내캡</v>
          </cell>
          <cell r="E89">
            <v>4.5999999999999996</v>
          </cell>
          <cell r="F89">
            <v>16</v>
          </cell>
          <cell r="H89">
            <v>48</v>
          </cell>
        </row>
        <row r="90">
          <cell r="A90" t="str">
            <v>SI1671_20251222</v>
          </cell>
          <cell r="B90" t="str">
            <v>장세래</v>
          </cell>
          <cell r="C90">
            <v>46013</v>
          </cell>
          <cell r="D90" t="str">
            <v>마몽드 어메이징딥 민트클렌징밤 90ml(26AD 단용기 사출</v>
          </cell>
          <cell r="E90">
            <v>3.05</v>
          </cell>
          <cell r="F90">
            <v>75</v>
          </cell>
          <cell r="H90">
            <v>115</v>
          </cell>
          <cell r="M90" t="str">
            <v>로보트</v>
          </cell>
          <cell r="N90" t="str">
            <v>NO3,4 인쇄부분 측면 웰드
제품 상단 어깨부 파팅 Burr
바닥면 쪽코아 파팅 Burr
슬라이드 코아 긁힘</v>
          </cell>
          <cell r="O90" t="str">
            <v>Burr부분 습합 확인</v>
          </cell>
        </row>
        <row r="91">
          <cell r="A91" t="str">
            <v>SI1670_20251218</v>
          </cell>
          <cell r="B91" t="str">
            <v>유재호</v>
          </cell>
          <cell r="C91">
            <v>46009</v>
          </cell>
          <cell r="D91" t="str">
            <v>마몽드 어메이징딥 민트클렌징밤 90ml(26AD 사출덮개 사출</v>
          </cell>
          <cell r="E91">
            <v>1.9</v>
          </cell>
          <cell r="F91">
            <v>12</v>
          </cell>
          <cell r="G91">
            <v>33</v>
          </cell>
        </row>
        <row r="92">
          <cell r="A92" t="str">
            <v>SI1616_20251215</v>
          </cell>
          <cell r="B92">
            <v>0</v>
          </cell>
          <cell r="C92">
            <v>46006</v>
          </cell>
          <cell r="D92" t="str">
            <v>설화수 진설명작크림 60ML (26AD 사출덮개</v>
          </cell>
          <cell r="E92">
            <v>7.72</v>
          </cell>
          <cell r="F92">
            <v>12</v>
          </cell>
          <cell r="H92">
            <v>34.1</v>
          </cell>
          <cell r="M92" t="str">
            <v>로보트</v>
          </cell>
        </row>
        <row r="93">
          <cell r="A93" t="str">
            <v>SI1669_20251209</v>
          </cell>
          <cell r="B93" t="str">
            <v>장세래</v>
          </cell>
          <cell r="C93">
            <v>46000</v>
          </cell>
          <cell r="D93" t="str">
            <v>마몽드 어메이징딥 민트클렌징밤 90ml(26AD 스파출러대 사출</v>
          </cell>
          <cell r="E93">
            <v>2.6</v>
          </cell>
          <cell r="F93">
            <v>20</v>
          </cell>
          <cell r="N93" t="str">
            <v>제품 외곽 파팅 burr</v>
          </cell>
        </row>
        <row r="94">
          <cell r="A94" t="str">
            <v>SI1670_20251205</v>
          </cell>
          <cell r="B94" t="str">
            <v>유재호</v>
          </cell>
          <cell r="C94">
            <v>45996</v>
          </cell>
          <cell r="D94" t="str">
            <v>마몽드 어메이징딥 민트클렌징밤 90ml(26AD 사출덮개 사출</v>
          </cell>
          <cell r="E94">
            <v>2.2999999999999998</v>
          </cell>
          <cell r="F94">
            <v>12</v>
          </cell>
          <cell r="G94">
            <v>32</v>
          </cell>
          <cell r="N94" t="str">
            <v>* 4번 게이트부위, 누수
* 정원이 안나옴</v>
          </cell>
        </row>
        <row r="95">
          <cell r="A95" t="str">
            <v>SI1671_20251203</v>
          </cell>
          <cell r="B95" t="str">
            <v>장세래</v>
          </cell>
          <cell r="C95">
            <v>45994</v>
          </cell>
          <cell r="D95" t="str">
            <v>마몽드 어메이징딥 민트클렌징밤 90ml(26AD 단용기 사출</v>
          </cell>
          <cell r="E95">
            <v>4.5</v>
          </cell>
          <cell r="F95">
            <v>75</v>
          </cell>
          <cell r="H95">
            <v>122</v>
          </cell>
          <cell r="M95" t="str">
            <v>로버트</v>
          </cell>
        </row>
        <row r="96">
          <cell r="A96" t="str">
            <v>SI1668_20251203</v>
          </cell>
          <cell r="B96" t="str">
            <v>장세래</v>
          </cell>
          <cell r="C96">
            <v>45994</v>
          </cell>
          <cell r="D96" t="str">
            <v>마몽드 어메이징딥 민트클렌징밤 90ml(26AD 원터치단캡 사출</v>
          </cell>
          <cell r="E96">
            <v>4</v>
          </cell>
          <cell r="F96">
            <v>25</v>
          </cell>
          <cell r="G96">
            <v>4</v>
          </cell>
          <cell r="N96" t="str">
            <v>슬라이드 파팅 단차
No3,4판 동작 미비
-냉각시간 증가로 불량 감소(확인 요망)
제품 취출 시 접시머리코아가 잡고있음</v>
          </cell>
        </row>
        <row r="97">
          <cell r="A97" t="str">
            <v>SI1669_20251124</v>
          </cell>
          <cell r="B97" t="str">
            <v>유재호</v>
          </cell>
          <cell r="C97">
            <v>45985</v>
          </cell>
          <cell r="D97" t="str">
            <v>마몽드 어메이징딥 민트클렌징밤 90ml(26AD 스파출러대 사출</v>
          </cell>
          <cell r="E97">
            <v>2</v>
          </cell>
          <cell r="F97">
            <v>16</v>
          </cell>
          <cell r="H97">
            <v>42</v>
          </cell>
        </row>
        <row r="98">
          <cell r="A98" t="str">
            <v>SI1617_20251121</v>
          </cell>
          <cell r="B98" t="str">
            <v>장세래</v>
          </cell>
          <cell r="C98">
            <v>45982</v>
          </cell>
          <cell r="D98" t="str">
            <v>설화수 진설명작크림 60ML (26AD 중용기</v>
          </cell>
          <cell r="E98">
            <v>3.2</v>
          </cell>
          <cell r="F98">
            <v>20</v>
          </cell>
          <cell r="M98" t="str">
            <v>로버트</v>
          </cell>
          <cell r="N98" t="str">
            <v>제품 상단 파팅면 실바리</v>
          </cell>
        </row>
        <row r="99">
          <cell r="A99" t="str">
            <v>SI1620_20251121</v>
          </cell>
          <cell r="B99" t="str">
            <v>장세래</v>
          </cell>
          <cell r="C99">
            <v>45982</v>
          </cell>
          <cell r="D99" t="str">
            <v>설화수 진설명작크림 60ML (26AD 용기받침 사출</v>
          </cell>
          <cell r="E99">
            <v>2.04</v>
          </cell>
          <cell r="F99">
            <v>20</v>
          </cell>
          <cell r="M99" t="str">
            <v>로버트</v>
          </cell>
        </row>
        <row r="100">
          <cell r="A100" t="str">
            <v>SI1628_20251121</v>
          </cell>
          <cell r="B100" t="str">
            <v>이종운</v>
          </cell>
          <cell r="C100">
            <v>45982</v>
          </cell>
          <cell r="D100" t="str">
            <v>설화수 진설명작크림 (견) 10ML (AD 단용기</v>
          </cell>
          <cell r="E100">
            <v>3.7</v>
          </cell>
          <cell r="F100">
            <v>20</v>
          </cell>
          <cell r="H100">
            <v>54</v>
          </cell>
          <cell r="M100" t="str">
            <v>로보트취출</v>
          </cell>
        </row>
        <row r="101">
          <cell r="A101" t="str">
            <v>SI1632_20251121</v>
          </cell>
          <cell r="B101" t="str">
            <v>이종운</v>
          </cell>
          <cell r="C101">
            <v>45982</v>
          </cell>
          <cell r="D101" t="str">
            <v>설화수 진설명작크림 (견) 5ML (AD 단용기</v>
          </cell>
          <cell r="E101">
            <v>2.83</v>
          </cell>
          <cell r="F101">
            <v>18</v>
          </cell>
          <cell r="H101">
            <v>49</v>
          </cell>
          <cell r="M101" t="str">
            <v>로보트취출</v>
          </cell>
        </row>
        <row r="102">
          <cell r="A102" t="str">
            <v>SI1618_20251119</v>
          </cell>
          <cell r="B102" t="str">
            <v>한창구</v>
          </cell>
          <cell r="C102">
            <v>45980</v>
          </cell>
          <cell r="D102" t="str">
            <v>설화수 진설명작크림 60ML (26AD 내용기</v>
          </cell>
          <cell r="E102" t="str">
            <v>5.13초</v>
          </cell>
          <cell r="F102">
            <v>15</v>
          </cell>
          <cell r="H102">
            <v>47.76</v>
          </cell>
          <cell r="M102" t="str">
            <v>로보트</v>
          </cell>
        </row>
        <row r="103">
          <cell r="A103" t="str">
            <v>SI1614_20251119</v>
          </cell>
          <cell r="B103" t="str">
            <v>한창구</v>
          </cell>
          <cell r="C103">
            <v>45980</v>
          </cell>
          <cell r="D103" t="str">
            <v>설화수 진설명작크림 60ML (26AD 내캡</v>
          </cell>
          <cell r="E103">
            <v>5.69</v>
          </cell>
          <cell r="F103">
            <v>20</v>
          </cell>
          <cell r="G103" t="str">
            <v>전:9.00</v>
          </cell>
          <cell r="H103">
            <v>76.739999999999995</v>
          </cell>
          <cell r="K103" t="str">
            <v>후:8.00</v>
          </cell>
          <cell r="M103" t="str">
            <v>로보트</v>
          </cell>
        </row>
        <row r="104">
          <cell r="A104" t="str">
            <v>SI1653_20251114</v>
          </cell>
          <cell r="B104" t="str">
            <v>유재호</v>
          </cell>
          <cell r="C104">
            <v>45975</v>
          </cell>
          <cell r="D104" t="str">
            <v>홀리추얼 울트라 너리싱 아이크림 30ML 중캡</v>
          </cell>
          <cell r="E104">
            <v>1.5</v>
          </cell>
          <cell r="F104">
            <v>16</v>
          </cell>
          <cell r="H104">
            <v>40</v>
          </cell>
        </row>
        <row r="105">
          <cell r="A105" t="str">
            <v>SI1654_20251111</v>
          </cell>
          <cell r="B105" t="str">
            <v>장세래</v>
          </cell>
          <cell r="C105">
            <v>45972</v>
          </cell>
          <cell r="D105" t="str">
            <v>홀리추얼 울트라 너리싱 아이크림 30ML 내캡</v>
          </cell>
          <cell r="E105">
            <v>2.5</v>
          </cell>
          <cell r="F105">
            <v>15</v>
          </cell>
          <cell r="G105">
            <v>4</v>
          </cell>
          <cell r="M105" t="str">
            <v>로버트</v>
          </cell>
        </row>
        <row r="106">
          <cell r="A106" t="str">
            <v>SI1622_20251110</v>
          </cell>
          <cell r="B106" t="str">
            <v>장세래</v>
          </cell>
          <cell r="C106">
            <v>45971</v>
          </cell>
          <cell r="D106" t="str">
            <v>설화수 진설명작크림 60ML (26AD 스파츌러대 사출</v>
          </cell>
          <cell r="E106">
            <v>2.5</v>
          </cell>
          <cell r="F106">
            <v>25</v>
          </cell>
        </row>
        <row r="107">
          <cell r="A107" t="str">
            <v>SI1611_20251104</v>
          </cell>
          <cell r="B107" t="str">
            <v>한창구</v>
          </cell>
          <cell r="C107">
            <v>45965</v>
          </cell>
          <cell r="D107" t="str">
            <v>홀리추얼 울트라 너리싱 어드밴스드 토너 150ML 내캡</v>
          </cell>
          <cell r="E107">
            <v>6.37</v>
          </cell>
          <cell r="F107">
            <v>14</v>
          </cell>
          <cell r="G107" t="str">
            <v>전진:4.0</v>
          </cell>
          <cell r="H107">
            <v>43.6</v>
          </cell>
          <cell r="K107" t="str">
            <v>후진:3.5</v>
          </cell>
          <cell r="M107" t="str">
            <v>로보트</v>
          </cell>
        </row>
        <row r="108">
          <cell r="A108" t="str">
            <v>SI1638_20251104</v>
          </cell>
          <cell r="B108" t="str">
            <v>유재호</v>
          </cell>
          <cell r="C108">
            <v>45965</v>
          </cell>
          <cell r="D108" t="str">
            <v>헤라 시그니아 바이탈리프팅크림 소용량 15ml 26AD 내용기</v>
          </cell>
          <cell r="E108">
            <v>3.3</v>
          </cell>
          <cell r="F108">
            <v>16</v>
          </cell>
          <cell r="H108">
            <v>40</v>
          </cell>
        </row>
        <row r="109">
          <cell r="A109" t="str">
            <v>SI1642_20251030</v>
          </cell>
          <cell r="B109" t="str">
            <v>한창구</v>
          </cell>
          <cell r="C109">
            <v>45960</v>
          </cell>
          <cell r="D109" t="str">
            <v>헤라 시그니아 유스퍼밍 아이크림 소용량 5mL(26AD 내용기</v>
          </cell>
          <cell r="E109">
            <v>8.77</v>
          </cell>
          <cell r="F109">
            <v>15</v>
          </cell>
          <cell r="H109">
            <v>46.2</v>
          </cell>
        </row>
        <row r="110">
          <cell r="A110" t="str">
            <v>SI1654_20251029</v>
          </cell>
          <cell r="B110" t="str">
            <v/>
          </cell>
          <cell r="C110" t="str">
            <v/>
          </cell>
          <cell r="D110" t="str">
            <v/>
          </cell>
          <cell r="E110">
            <v>9.11</v>
          </cell>
          <cell r="F110">
            <v>16</v>
          </cell>
          <cell r="G110" t="str">
            <v>전:3.5 후:3</v>
          </cell>
          <cell r="H110">
            <v>53.8</v>
          </cell>
          <cell r="N110" t="str">
            <v>하단부 Burr P/L면 발생</v>
          </cell>
        </row>
        <row r="111">
          <cell r="A111" t="str">
            <v>SI1653_20251029</v>
          </cell>
          <cell r="B111" t="str">
            <v>한창구</v>
          </cell>
          <cell r="C111">
            <v>45959</v>
          </cell>
          <cell r="D111" t="str">
            <v>홀리추얼 울트라 너리싱 아이크림 30ML 중캡</v>
          </cell>
          <cell r="E111">
            <v>7.67</v>
          </cell>
          <cell r="F111">
            <v>16</v>
          </cell>
          <cell r="H111">
            <v>43.7</v>
          </cell>
        </row>
        <row r="112">
          <cell r="A112" t="str">
            <v>SI1638_20251027</v>
          </cell>
          <cell r="B112" t="str">
            <v>장세래</v>
          </cell>
          <cell r="C112">
            <v>45957</v>
          </cell>
          <cell r="D112" t="str">
            <v>헤라 시그니아 바이탈리프팅크림 소용량 15ml 26AD 내용기</v>
          </cell>
          <cell r="E112">
            <v>3.2</v>
          </cell>
          <cell r="F112">
            <v>15</v>
          </cell>
        </row>
        <row r="113">
          <cell r="A113" t="str">
            <v>SI1642_20251023</v>
          </cell>
          <cell r="B113" t="str">
            <v>유재호</v>
          </cell>
          <cell r="C113">
            <v>45953</v>
          </cell>
          <cell r="D113" t="str">
            <v>헤라 시그니아 유스퍼밍 아이크림 소용량 5mL(26AD 내용기</v>
          </cell>
          <cell r="E113">
            <v>4.3</v>
          </cell>
          <cell r="F113">
            <v>16</v>
          </cell>
          <cell r="H113">
            <v>39</v>
          </cell>
        </row>
        <row r="114">
          <cell r="A114" t="str">
            <v>SI1641_20251023</v>
          </cell>
          <cell r="B114" t="str">
            <v>유재호</v>
          </cell>
          <cell r="C114">
            <v>45953</v>
          </cell>
          <cell r="D114" t="str">
            <v>헤라 시그니아 유스퍼밍 아이크림 소용량 5mL(26AD 캡</v>
          </cell>
          <cell r="E114">
            <v>5</v>
          </cell>
          <cell r="F114">
            <v>16</v>
          </cell>
          <cell r="H114">
            <v>49</v>
          </cell>
        </row>
        <row r="115">
          <cell r="A115" t="str">
            <v>SI1652_20251020</v>
          </cell>
          <cell r="B115" t="str">
            <v>장세래</v>
          </cell>
          <cell r="C115">
            <v>45950</v>
          </cell>
          <cell r="D115" t="str">
            <v>홀리추얼 울트라 너리싱 아이크림 30ML 외캡</v>
          </cell>
          <cell r="E115">
            <v>2.5</v>
          </cell>
          <cell r="F115">
            <v>20</v>
          </cell>
          <cell r="M115" t="str">
            <v>로버트</v>
          </cell>
        </row>
        <row r="116">
          <cell r="A116" t="str">
            <v>SI1655_20251016</v>
          </cell>
          <cell r="B116" t="str">
            <v>유재호</v>
          </cell>
          <cell r="C116">
            <v>45946</v>
          </cell>
          <cell r="D116" t="str">
            <v>홀리추얼 울트라 너리싱 크림 80ML 외캡 사출</v>
          </cell>
          <cell r="E116">
            <v>4.4000000000000004</v>
          </cell>
          <cell r="F116">
            <v>25</v>
          </cell>
          <cell r="H116">
            <v>54</v>
          </cell>
        </row>
        <row r="117">
          <cell r="A117" t="str">
            <v>SI1640_20251014</v>
          </cell>
          <cell r="B117" t="str">
            <v>장세래</v>
          </cell>
          <cell r="C117">
            <v>45944</v>
          </cell>
          <cell r="D117" t="str">
            <v>헤라 시그니아 바이탈리프팅크림 소용량 15ml 26AD 내캡</v>
          </cell>
          <cell r="E117">
            <v>2.4</v>
          </cell>
          <cell r="F117">
            <v>15</v>
          </cell>
          <cell r="G117">
            <v>4</v>
          </cell>
          <cell r="M117" t="str">
            <v>로버트</v>
          </cell>
        </row>
        <row r="118">
          <cell r="A118" t="str">
            <v>SI1638_20251014</v>
          </cell>
          <cell r="B118" t="str">
            <v>유재호</v>
          </cell>
          <cell r="C118">
            <v>45944</v>
          </cell>
          <cell r="D118" t="str">
            <v>헤라 시그니아 바이탈리프팅크림 소용량 15ml 26AD 내용기</v>
          </cell>
          <cell r="E118">
            <v>2</v>
          </cell>
          <cell r="F118">
            <v>16</v>
          </cell>
          <cell r="H118">
            <v>43</v>
          </cell>
        </row>
        <row r="119">
          <cell r="A119" t="str">
            <v>SI1654_20251014</v>
          </cell>
          <cell r="B119" t="str">
            <v>유재호</v>
          </cell>
          <cell r="C119">
            <v>45944</v>
          </cell>
          <cell r="D119" t="str">
            <v>홀리추얼 울트라 너리싱 아이크림 30ML 내캡</v>
          </cell>
          <cell r="E119">
            <v>3.8</v>
          </cell>
          <cell r="F119">
            <v>16</v>
          </cell>
          <cell r="H119">
            <v>59</v>
          </cell>
          <cell r="N119" t="str">
            <v>*제품하단 라비</v>
          </cell>
        </row>
        <row r="120">
          <cell r="A120" t="str">
            <v>SI1642_20250930</v>
          </cell>
          <cell r="B120" t="str">
            <v>장세래</v>
          </cell>
          <cell r="C120">
            <v>45930</v>
          </cell>
          <cell r="D120" t="str">
            <v>헤라 시그니아 유스퍼밍 아이크림 소용량 5mL(26AD 내용기</v>
          </cell>
          <cell r="E120">
            <v>2.5</v>
          </cell>
          <cell r="F120">
            <v>15</v>
          </cell>
          <cell r="M120" t="str">
            <v>로버트</v>
          </cell>
        </row>
        <row r="121">
          <cell r="A121" t="str">
            <v>SI1638_20250930</v>
          </cell>
          <cell r="B121" t="str">
            <v>장세래</v>
          </cell>
          <cell r="C121">
            <v>45930</v>
          </cell>
          <cell r="D121" t="str">
            <v>헤라 시그니아 바이탈리프팅크림 소용량 15ml 26AD 내용기</v>
          </cell>
          <cell r="E121">
            <v>2.5</v>
          </cell>
          <cell r="F121">
            <v>15</v>
          </cell>
          <cell r="G121">
            <v>3.5</v>
          </cell>
          <cell r="M121" t="str">
            <v>로버트</v>
          </cell>
        </row>
        <row r="122">
          <cell r="A122" t="str">
            <v>SI1620_20250929</v>
          </cell>
          <cell r="B122" t="str">
            <v>장세래</v>
          </cell>
          <cell r="C122">
            <v>45929</v>
          </cell>
          <cell r="D122" t="str">
            <v>설화수 진설명작크림 60ML (26AD 용기받침 사출</v>
          </cell>
          <cell r="E122">
            <v>2.8</v>
          </cell>
          <cell r="F122">
            <v>18</v>
          </cell>
          <cell r="H122">
            <v>42</v>
          </cell>
        </row>
        <row r="123">
          <cell r="A123" t="str">
            <v>SI1653_20251003</v>
          </cell>
          <cell r="B123" t="str">
            <v>유재호</v>
          </cell>
          <cell r="C123">
            <v>45933</v>
          </cell>
          <cell r="D123" t="str">
            <v>홀리추얼 울트라 너리싱 아이크림 30ML 중캡</v>
          </cell>
          <cell r="E123">
            <v>1.45</v>
          </cell>
          <cell r="F123">
            <v>16</v>
          </cell>
          <cell r="H123">
            <v>40</v>
          </cell>
          <cell r="N123" t="str">
            <v>*1번 하단 바리
*로고에 찌꺼기가 발생</v>
          </cell>
        </row>
        <row r="124">
          <cell r="A124" t="str">
            <v>SI1652_20251003</v>
          </cell>
          <cell r="B124" t="str">
            <v>유재호</v>
          </cell>
          <cell r="C124">
            <v>45933</v>
          </cell>
          <cell r="D124" t="str">
            <v>홀리추얼 울트라 너리싱 아이크림 30ML 외캡</v>
          </cell>
          <cell r="E124">
            <v>3.1</v>
          </cell>
          <cell r="F124">
            <v>20</v>
          </cell>
          <cell r="H124">
            <v>47</v>
          </cell>
        </row>
        <row r="125">
          <cell r="A125" t="str">
            <v>SI1637_20251001</v>
          </cell>
          <cell r="B125" t="str">
            <v>장세래</v>
          </cell>
          <cell r="C125">
            <v>45931</v>
          </cell>
          <cell r="D125" t="str">
            <v>헤라 시그니아 바이탈리프팅크림 소용량 15ml 26AD 외용기</v>
          </cell>
          <cell r="E125">
            <v>7.2</v>
          </cell>
          <cell r="F125">
            <v>180</v>
          </cell>
          <cell r="H125">
            <v>240</v>
          </cell>
        </row>
        <row r="126">
          <cell r="A126" t="str">
            <v>SI1643_20251001</v>
          </cell>
          <cell r="B126" t="str">
            <v>장세래</v>
          </cell>
          <cell r="C126">
            <v>45931</v>
          </cell>
          <cell r="D126" t="str">
            <v>헤라 시그니아 유스퍼밍 아이크림 소용량 5mL(26AD 외용기</v>
          </cell>
          <cell r="E126">
            <v>4.42</v>
          </cell>
          <cell r="F126">
            <v>150</v>
          </cell>
          <cell r="H126">
            <v>200</v>
          </cell>
          <cell r="N126" t="str">
            <v>외경/나사경 도면보다 규격 큼</v>
          </cell>
        </row>
        <row r="127">
          <cell r="A127" t="str">
            <v>SI1629_20250926</v>
          </cell>
          <cell r="B127" t="str">
            <v>유재호</v>
          </cell>
          <cell r="C127">
            <v>45926</v>
          </cell>
          <cell r="D127" t="str">
            <v>설화수 진설명작크림 (견) 10ML (AD 사출덮개</v>
          </cell>
          <cell r="E127">
            <v>1.6</v>
          </cell>
          <cell r="F127">
            <v>12</v>
          </cell>
          <cell r="H127">
            <v>35</v>
          </cell>
        </row>
        <row r="128">
          <cell r="A128" t="str">
            <v>SI1634_20250926</v>
          </cell>
          <cell r="B128" t="str">
            <v>유재호</v>
          </cell>
          <cell r="C128">
            <v>45926</v>
          </cell>
          <cell r="D128" t="str">
            <v>설화수 진설명작크림 (견) 5ML (AD 사출덮개</v>
          </cell>
          <cell r="E128">
            <v>1.4</v>
          </cell>
          <cell r="F128">
            <v>12</v>
          </cell>
          <cell r="H128">
            <v>34</v>
          </cell>
        </row>
        <row r="129">
          <cell r="A129" t="str">
            <v>SI1641_20250925</v>
          </cell>
          <cell r="B129" t="str">
            <v>유재호</v>
          </cell>
          <cell r="C129">
            <v>45925</v>
          </cell>
          <cell r="D129" t="str">
            <v>헤라 시그니아 유스퍼밍 아이크림 소용량 5mL(26AD 캡</v>
          </cell>
          <cell r="E129">
            <v>3.8</v>
          </cell>
          <cell r="F129">
            <v>30</v>
          </cell>
          <cell r="H129">
            <v>67</v>
          </cell>
          <cell r="M129" t="str">
            <v>형개중 하강</v>
          </cell>
        </row>
        <row r="130">
          <cell r="A130" t="str">
            <v>SI1640_20250923</v>
          </cell>
          <cell r="B130" t="str">
            <v>장세래</v>
          </cell>
          <cell r="C130">
            <v>45923</v>
          </cell>
          <cell r="D130" t="str">
            <v>헤라 시그니아 바이탈리프팅크림 소용량 15ml 26AD 내캡</v>
          </cell>
          <cell r="E130">
            <v>2.4300000000000002</v>
          </cell>
          <cell r="F130">
            <v>12</v>
          </cell>
          <cell r="G130">
            <v>3.5</v>
          </cell>
          <cell r="M130" t="str">
            <v>로보트</v>
          </cell>
        </row>
        <row r="131">
          <cell r="A131" t="str">
            <v>SI1637_20250923</v>
          </cell>
          <cell r="B131" t="str">
            <v>민병태</v>
          </cell>
          <cell r="C131">
            <v>45923</v>
          </cell>
          <cell r="D131" t="str">
            <v>헤라 시그니아 바이탈리프팅크림 소용량 15ml 26AD 외용기</v>
          </cell>
          <cell r="E131">
            <v>5.5</v>
          </cell>
          <cell r="F131">
            <v>100</v>
          </cell>
          <cell r="H131">
            <v>154.19999999999999</v>
          </cell>
          <cell r="M131" t="str">
            <v>로보트</v>
          </cell>
        </row>
        <row r="132">
          <cell r="A132" t="str">
            <v>SI1643_20250923</v>
          </cell>
          <cell r="B132" t="str">
            <v>민병태</v>
          </cell>
          <cell r="C132">
            <v>45923</v>
          </cell>
          <cell r="D132" t="str">
            <v>헤라 시그니아 유스퍼밍 아이크림 소용량 5mL(26AD 외용기</v>
          </cell>
          <cell r="E132">
            <v>4.5</v>
          </cell>
          <cell r="F132">
            <v>150</v>
          </cell>
          <cell r="H132">
            <v>200</v>
          </cell>
          <cell r="M132" t="str">
            <v>로보트</v>
          </cell>
          <cell r="N132" t="str">
            <v>측면 플로어마트 미세하게 발생
조치시 만족 웰드 발생
측면 수축 발생</v>
          </cell>
        </row>
        <row r="133">
          <cell r="A133" t="str">
            <v>SI1642_20250915</v>
          </cell>
          <cell r="B133" t="str">
            <v>장세래</v>
          </cell>
          <cell r="C133">
            <v>45915</v>
          </cell>
          <cell r="D133" t="str">
            <v>헤라 시그니아 유스퍼밍 아이크림 소용량 5mL(26AD 내용기</v>
          </cell>
          <cell r="E133">
            <v>2.5</v>
          </cell>
          <cell r="F133">
            <v>15</v>
          </cell>
          <cell r="M133" t="str">
            <v>로보트</v>
          </cell>
        </row>
        <row r="134">
          <cell r="A134" t="str">
            <v>SI1638_20250915</v>
          </cell>
          <cell r="B134" t="str">
            <v>장세래</v>
          </cell>
          <cell r="C134">
            <v>45915</v>
          </cell>
          <cell r="D134" t="str">
            <v>헤라 시그니아 바이탈리프팅크림 소용량 15ml 26AD 내용기</v>
          </cell>
          <cell r="E134">
            <v>3.12</v>
          </cell>
          <cell r="F134">
            <v>15</v>
          </cell>
          <cell r="M134" t="str">
            <v>로보트</v>
          </cell>
        </row>
        <row r="135">
          <cell r="A135" t="str">
            <v>SI1643_20250913</v>
          </cell>
          <cell r="B135" t="str">
            <v>장세래</v>
          </cell>
          <cell r="C135">
            <v>45913</v>
          </cell>
          <cell r="D135" t="str">
            <v>헤라 시그니아 유스퍼밍 아이크림 소용량 5mL(26AD 외용기</v>
          </cell>
          <cell r="E135">
            <v>3.5</v>
          </cell>
          <cell r="F135">
            <v>150</v>
          </cell>
          <cell r="H135">
            <v>240</v>
          </cell>
          <cell r="N135" t="str">
            <v>표면 수축 개선시 제품 상단 나사경 깨짐</v>
          </cell>
        </row>
        <row r="136">
          <cell r="A136" t="str">
            <v>SI1637_20250913</v>
          </cell>
          <cell r="B136" t="str">
            <v>장세래</v>
          </cell>
          <cell r="C136">
            <v>45913</v>
          </cell>
          <cell r="D136" t="str">
            <v>헤라 시그니아 바이탈리프팅크림 소용량 15ml 26AD 외용기</v>
          </cell>
          <cell r="E136">
            <v>4.07</v>
          </cell>
          <cell r="F136">
            <v>150</v>
          </cell>
          <cell r="H136">
            <v>250</v>
          </cell>
          <cell r="N136" t="str">
            <v>표면 수축 개선 위주로 작업 진행
제품 상단 나사경 깨짐,제품 이형시 게이트 지저분함</v>
          </cell>
          <cell r="O136" t="str">
            <v>냉온수 복합기를 이용하여 실험 예정</v>
          </cell>
        </row>
        <row r="137">
          <cell r="A137" t="str">
            <v>SI1632_20250911</v>
          </cell>
          <cell r="B137">
            <v>0</v>
          </cell>
          <cell r="C137">
            <v>45911</v>
          </cell>
          <cell r="D137" t="str">
            <v>설화수 진설명작크림 (견) 5ML (AD 단용기</v>
          </cell>
          <cell r="E137">
            <v>3.1</v>
          </cell>
          <cell r="F137">
            <v>16</v>
          </cell>
          <cell r="H137">
            <v>42</v>
          </cell>
        </row>
        <row r="138">
          <cell r="A138" t="str">
            <v>SI1628_20250911</v>
          </cell>
          <cell r="B138">
            <v>0</v>
          </cell>
          <cell r="C138">
            <v>45911</v>
          </cell>
          <cell r="D138" t="str">
            <v>설화수 진설명작크림 (견) 10ML (AD 단용기</v>
          </cell>
          <cell r="E138">
            <v>3.7</v>
          </cell>
          <cell r="F138">
            <v>16</v>
          </cell>
          <cell r="H138">
            <v>42</v>
          </cell>
        </row>
        <row r="139">
          <cell r="A139" t="str">
            <v>SI1619_20250911</v>
          </cell>
          <cell r="B139" t="str">
            <v>유재호</v>
          </cell>
          <cell r="C139">
            <v>45911</v>
          </cell>
          <cell r="D139" t="str">
            <v>설화수 진설명작크림 60ML (26AD 외용기</v>
          </cell>
          <cell r="E139">
            <v>13.2</v>
          </cell>
          <cell r="F139">
            <v>50</v>
          </cell>
          <cell r="H139">
            <v>78</v>
          </cell>
          <cell r="N139" t="str">
            <v>1번 기스, 샘플확인</v>
          </cell>
        </row>
        <row r="140">
          <cell r="A140" t="str">
            <v>SI1618_20250911</v>
          </cell>
          <cell r="B140" t="str">
            <v>유재호</v>
          </cell>
          <cell r="C140">
            <v>45911</v>
          </cell>
          <cell r="D140" t="str">
            <v>설화수 진설명작크림 60ML (26AD 내용기</v>
          </cell>
          <cell r="E140">
            <v>2.2999999999999998</v>
          </cell>
          <cell r="F140">
            <v>15</v>
          </cell>
          <cell r="H140">
            <v>48</v>
          </cell>
        </row>
        <row r="141">
          <cell r="A141" t="str">
            <v>SI1614_20250911</v>
          </cell>
          <cell r="B141" t="str">
            <v>유재호</v>
          </cell>
          <cell r="C141">
            <v>45911</v>
          </cell>
          <cell r="D141" t="str">
            <v>설화수 진설명작크림 60ML (26AD 내캡</v>
          </cell>
          <cell r="E141">
            <v>2.2000000000000002</v>
          </cell>
          <cell r="F141">
            <v>18</v>
          </cell>
          <cell r="H141">
            <v>67.3</v>
          </cell>
          <cell r="M141" t="str">
            <v>로보트</v>
          </cell>
        </row>
        <row r="142">
          <cell r="A142" t="str">
            <v>SI1641_20250903</v>
          </cell>
          <cell r="B142" t="str">
            <v>유재호</v>
          </cell>
          <cell r="C142">
            <v>45903</v>
          </cell>
          <cell r="D142" t="str">
            <v>헤라 시그니아 유스퍼밍 아이크림 소용량 5mL(26AD 캡</v>
          </cell>
          <cell r="E142">
            <v>5.8</v>
          </cell>
          <cell r="F142">
            <v>16</v>
          </cell>
          <cell r="N142" t="str">
            <v>80톤 형개 거리 안나옴
*링크 고리 50mm 줄여주세요
2번 하단부 찍힘 현상</v>
          </cell>
        </row>
        <row r="143">
          <cell r="A143" t="str">
            <v>SI1640_20250903</v>
          </cell>
          <cell r="B143" t="str">
            <v>유재호</v>
          </cell>
          <cell r="C143">
            <v>45903</v>
          </cell>
          <cell r="D143" t="str">
            <v>헤라 시그니아 바이탈리프팅크림 소용량 15ml 26AD 내캡</v>
          </cell>
          <cell r="E143">
            <v>2</v>
          </cell>
          <cell r="F143">
            <v>15</v>
          </cell>
          <cell r="H143">
            <v>52</v>
          </cell>
        </row>
        <row r="144">
          <cell r="A144" t="str">
            <v>SI1642_20250902</v>
          </cell>
          <cell r="B144" t="str">
            <v>유재호</v>
          </cell>
          <cell r="C144">
            <v>45902</v>
          </cell>
          <cell r="D144" t="str">
            <v>헤라 시그니아 유스퍼밍 아이크림 소용량 5mL(26AD 내용기</v>
          </cell>
          <cell r="E144">
            <v>2.6</v>
          </cell>
          <cell r="F144">
            <v>16</v>
          </cell>
          <cell r="H144">
            <v>39</v>
          </cell>
          <cell r="N144" t="str">
            <v xml:space="preserve">언더컷 규격 미달로 외용기 조립 시 문제 발생 </v>
          </cell>
          <cell r="O144" t="str">
            <v>금형 수정 요청</v>
          </cell>
        </row>
        <row r="145">
          <cell r="A145" t="str">
            <v>SI1638_20250902</v>
          </cell>
          <cell r="B145" t="str">
            <v>유재호</v>
          </cell>
          <cell r="C145">
            <v>45902</v>
          </cell>
          <cell r="D145" t="str">
            <v>헤라 시그니아 바이탈리프팅크림 소용량 15ml 26AD 내용기</v>
          </cell>
          <cell r="E145">
            <v>3.5</v>
          </cell>
          <cell r="F145">
            <v>16</v>
          </cell>
          <cell r="H145">
            <v>39</v>
          </cell>
          <cell r="N145" t="str">
            <v xml:space="preserve">언더컷 규격 미달로 외용기 조립 시 문제 발생 </v>
          </cell>
          <cell r="O145" t="str">
            <v>금형 수정 요청</v>
          </cell>
        </row>
        <row r="146">
          <cell r="A146" t="str">
            <v>SI1643_20250828</v>
          </cell>
          <cell r="B146" t="str">
            <v>장세래</v>
          </cell>
          <cell r="C146">
            <v>45897</v>
          </cell>
          <cell r="D146" t="str">
            <v>헤라 시그니아 유스퍼밍 아이크림 소용량 5mL(26AD 외용기</v>
          </cell>
          <cell r="E146">
            <v>4.12</v>
          </cell>
          <cell r="F146">
            <v>65</v>
          </cell>
          <cell r="M146" t="str">
            <v>로버트</v>
          </cell>
          <cell r="N146" t="str">
            <v>측면 후수축</v>
          </cell>
        </row>
        <row r="147">
          <cell r="A147" t="str">
            <v>SI1637_20250828</v>
          </cell>
          <cell r="B147" t="str">
            <v>장세래</v>
          </cell>
          <cell r="C147">
            <v>45897</v>
          </cell>
          <cell r="D147" t="str">
            <v>헤라 시그니아 바이탈리프팅크림 소용량 15ml 26AD 외용기</v>
          </cell>
          <cell r="E147">
            <v>5.5</v>
          </cell>
          <cell r="F147">
            <v>65</v>
          </cell>
          <cell r="M147" t="str">
            <v>로버트</v>
          </cell>
          <cell r="N147" t="str">
            <v>측면 후수축</v>
          </cell>
        </row>
        <row r="148">
          <cell r="A148" t="str">
            <v>SI1628_20250812</v>
          </cell>
          <cell r="B148" t="str">
            <v>한창구</v>
          </cell>
          <cell r="C148">
            <v>45896</v>
          </cell>
          <cell r="D148" t="str">
            <v>설화수 진설명작크림 (견) 10ML (AD 단용기</v>
          </cell>
          <cell r="E148">
            <v>5</v>
          </cell>
          <cell r="F148">
            <v>65</v>
          </cell>
          <cell r="M148" t="str">
            <v>로버트</v>
          </cell>
        </row>
        <row r="149">
          <cell r="A149" t="str">
            <v>SI1628_20250812</v>
          </cell>
          <cell r="B149" t="str">
            <v>한창구</v>
          </cell>
          <cell r="C149">
            <v>45896</v>
          </cell>
          <cell r="D149" t="str">
            <v>설화수 진설명작크림 (견) 10ML (AD 단용기</v>
          </cell>
          <cell r="E149">
            <v>7.12</v>
          </cell>
          <cell r="F149">
            <v>15</v>
          </cell>
          <cell r="H149">
            <v>42</v>
          </cell>
        </row>
        <row r="150">
          <cell r="A150" t="str">
            <v>SI1632_20250812</v>
          </cell>
          <cell r="B150" t="str">
            <v>한창구</v>
          </cell>
          <cell r="C150">
            <v>45896</v>
          </cell>
          <cell r="D150" t="str">
            <v>설화수 진설명작크림 (견) 5ML (AD 단용기</v>
          </cell>
          <cell r="E150">
            <v>6.71</v>
          </cell>
          <cell r="F150">
            <v>15</v>
          </cell>
          <cell r="H150">
            <v>41</v>
          </cell>
        </row>
        <row r="151">
          <cell r="A151" t="str">
            <v>SI1627_20250812</v>
          </cell>
          <cell r="B151" t="str">
            <v>장세래</v>
          </cell>
          <cell r="C151">
            <v>45895</v>
          </cell>
          <cell r="D151" t="str">
            <v>설화수 진설명작크림 (견) 10ML (AD 용기받침</v>
          </cell>
          <cell r="E151">
            <v>4.2699999999999996</v>
          </cell>
          <cell r="F151">
            <v>20</v>
          </cell>
        </row>
        <row r="152">
          <cell r="A152" t="str">
            <v>SI1633_20250812</v>
          </cell>
          <cell r="B152" t="str">
            <v>장세래</v>
          </cell>
          <cell r="C152">
            <v>45895</v>
          </cell>
          <cell r="D152" t="str">
            <v>설화수 진설명작크림 (견) 5ML (AD 용기받침</v>
          </cell>
          <cell r="E152">
            <v>2.4</v>
          </cell>
          <cell r="F152">
            <v>20</v>
          </cell>
        </row>
        <row r="153">
          <cell r="A153" t="str">
            <v>SI1625_20250812</v>
          </cell>
          <cell r="B153" t="str">
            <v>장세래</v>
          </cell>
          <cell r="C153">
            <v>45894</v>
          </cell>
          <cell r="D153" t="str">
            <v>설화수 진설명작크림 (견) 10ML (AD 외캡</v>
          </cell>
          <cell r="E153">
            <v>2.4</v>
          </cell>
          <cell r="F153">
            <v>20</v>
          </cell>
        </row>
        <row r="154">
          <cell r="A154" t="str">
            <v>SI1630_20250812</v>
          </cell>
          <cell r="B154" t="str">
            <v>장세래</v>
          </cell>
          <cell r="C154">
            <v>45894</v>
          </cell>
          <cell r="D154" t="str">
            <v>설화수 진설명작크림 (견) 5ML (AD 외캡</v>
          </cell>
          <cell r="E154">
            <v>3.5</v>
          </cell>
          <cell r="F154">
            <v>20</v>
          </cell>
        </row>
        <row r="155">
          <cell r="A155" t="str">
            <v>SI1626_20250812</v>
          </cell>
          <cell r="B155" t="str">
            <v>한창구</v>
          </cell>
          <cell r="C155">
            <v>45895</v>
          </cell>
          <cell r="D155" t="str">
            <v>설화수 진설명작크림 (견) 10ML (AD 내캡</v>
          </cell>
          <cell r="E155">
            <v>6.3</v>
          </cell>
          <cell r="F155">
            <v>15</v>
          </cell>
          <cell r="G155" t="str">
            <v>전진:3.4초</v>
          </cell>
          <cell r="H155">
            <v>47.3</v>
          </cell>
          <cell r="K155" t="str">
            <v>후진:3.0초</v>
          </cell>
          <cell r="M155" t="str">
            <v>로보트</v>
          </cell>
        </row>
        <row r="156">
          <cell r="A156" t="str">
            <v>SI1631_20250812</v>
          </cell>
          <cell r="B156" t="str">
            <v>한창구</v>
          </cell>
          <cell r="C156">
            <v>45895</v>
          </cell>
          <cell r="D156" t="str">
            <v>설화수 진설명작크림 (견) 5ML (AD 내캡</v>
          </cell>
          <cell r="E156">
            <v>6</v>
          </cell>
          <cell r="F156">
            <v>15</v>
          </cell>
          <cell r="G156" t="str">
            <v>전진:3.5초</v>
          </cell>
          <cell r="H156">
            <v>46.1</v>
          </cell>
          <cell r="K156" t="str">
            <v>후진:3.0초</v>
          </cell>
          <cell r="M156" t="str">
            <v>로보트</v>
          </cell>
        </row>
        <row r="157">
          <cell r="A157" t="str">
            <v>test</v>
          </cell>
          <cell r="B157" t="str">
            <v/>
          </cell>
          <cell r="C157" t="str">
            <v/>
          </cell>
          <cell r="D157" t="str">
            <v/>
          </cell>
        </row>
        <row r="158">
          <cell r="A158" t="str">
            <v>SI1634_20250822</v>
          </cell>
          <cell r="B158" t="str">
            <v>유재호</v>
          </cell>
          <cell r="C158">
            <v>45891</v>
          </cell>
          <cell r="D158" t="str">
            <v>설화수 진설명작크림 (견) 5ML (AD 사출덮개</v>
          </cell>
        </row>
        <row r="159">
          <cell r="A159" t="str">
            <v>SI1634_20250822</v>
          </cell>
          <cell r="B159" t="str">
            <v>유재호</v>
          </cell>
          <cell r="C159">
            <v>45891</v>
          </cell>
          <cell r="D159" t="str">
            <v>설화수 진설명작크림 (견) 5ML (AD 사출덮개</v>
          </cell>
        </row>
        <row r="160">
          <cell r="A160" t="str">
            <v>SI1614_20250812</v>
          </cell>
          <cell r="B160" t="str">
            <v>유재호</v>
          </cell>
          <cell r="C160">
            <v>45889</v>
          </cell>
          <cell r="D160" t="str">
            <v>설화수 진설명작크림 60ML (26AD 내캡</v>
          </cell>
          <cell r="E160">
            <v>2.6</v>
          </cell>
          <cell r="F160">
            <v>20</v>
          </cell>
          <cell r="H160">
            <v>74</v>
          </cell>
        </row>
        <row r="161">
          <cell r="A161" t="str">
            <v>SI1623_20250812</v>
          </cell>
          <cell r="B161" t="str">
            <v>유재호</v>
          </cell>
          <cell r="C161">
            <v>45888</v>
          </cell>
          <cell r="D161" t="str">
            <v>설화수 진설명작크림 리필 60ML (26AD 단캡</v>
          </cell>
          <cell r="E161">
            <v>2.8</v>
          </cell>
          <cell r="F161">
            <v>25</v>
          </cell>
          <cell r="H161">
            <v>52</v>
          </cell>
        </row>
        <row r="162">
          <cell r="A162" t="str">
            <v>SI1622_20250812</v>
          </cell>
          <cell r="B162" t="str">
            <v>유재호</v>
          </cell>
          <cell r="C162">
            <v>45883</v>
          </cell>
          <cell r="D162" t="str">
            <v>설화수 진설명작크림 60ML (26AD 스파츌러대 사출</v>
          </cell>
          <cell r="E162">
            <v>9.1999999999999993</v>
          </cell>
          <cell r="F162">
            <v>25</v>
          </cell>
          <cell r="H162">
            <v>59</v>
          </cell>
        </row>
        <row r="163">
          <cell r="A163" t="str">
            <v>test_20250817</v>
          </cell>
          <cell r="B163" t="str">
            <v/>
          </cell>
          <cell r="C163" t="str">
            <v/>
          </cell>
          <cell r="D163" t="str">
            <v/>
          </cell>
          <cell r="F163">
            <v>1</v>
          </cell>
          <cell r="G163">
            <v>2</v>
          </cell>
          <cell r="H163">
            <v>3</v>
          </cell>
          <cell r="I163">
            <v>4</v>
          </cell>
          <cell r="J163">
            <v>5</v>
          </cell>
        </row>
        <row r="164">
          <cell r="A164" t="str">
            <v>SI1620_20250812</v>
          </cell>
          <cell r="B164" t="str">
            <v>유재호</v>
          </cell>
          <cell r="C164">
            <v>45883</v>
          </cell>
          <cell r="D164" t="str">
            <v>설화수 진설명작크림 60ML (26AD 용기받침 사출</v>
          </cell>
          <cell r="E164">
            <v>2.21</v>
          </cell>
          <cell r="F164">
            <v>18</v>
          </cell>
          <cell r="H164">
            <v>43</v>
          </cell>
        </row>
        <row r="165">
          <cell r="A165" t="str">
            <v>SI1617_20250812</v>
          </cell>
          <cell r="B165" t="str">
            <v>유재호</v>
          </cell>
          <cell r="C165">
            <v>45882</v>
          </cell>
          <cell r="D165" t="str">
            <v>설화수 진설명작크림 60ML (26AD 중용기</v>
          </cell>
          <cell r="E165">
            <v>2.2999999999999998</v>
          </cell>
          <cell r="F165">
            <v>18</v>
          </cell>
          <cell r="H165">
            <v>44</v>
          </cell>
        </row>
        <row r="166">
          <cell r="A166" t="str">
            <v>SI1621_20250812</v>
          </cell>
          <cell r="B166" t="str">
            <v>유재호</v>
          </cell>
          <cell r="C166">
            <v>45882</v>
          </cell>
          <cell r="D166" t="str">
            <v>설화수 진설명작크림 60ML (26AD 숄더장식 사출</v>
          </cell>
          <cell r="E166">
            <v>3.4</v>
          </cell>
          <cell r="F166">
            <v>18</v>
          </cell>
          <cell r="H166">
            <v>48</v>
          </cell>
          <cell r="M166" t="str">
            <v>로보트</v>
          </cell>
          <cell r="N166" t="str">
            <v>링크고리 80m 줄임</v>
          </cell>
        </row>
        <row r="167">
          <cell r="A167" t="str">
            <v>SI1615_20250812</v>
          </cell>
          <cell r="B167" t="str">
            <v>유재호</v>
          </cell>
          <cell r="C167">
            <v>45882</v>
          </cell>
          <cell r="D167" t="str">
            <v>설화수 진설명작크림 60ML (26AD 캡장식-하단링</v>
          </cell>
          <cell r="E167">
            <v>0.9</v>
          </cell>
          <cell r="F167">
            <v>12</v>
          </cell>
          <cell r="H167">
            <v>38</v>
          </cell>
          <cell r="M167" t="str">
            <v>수동</v>
          </cell>
          <cell r="N167" t="str">
            <v>제품과 런너가 불리. 로보트 취출 안됨</v>
          </cell>
        </row>
        <row r="168">
          <cell r="A168" t="str">
            <v>SI1611_20250807</v>
          </cell>
          <cell r="B168" t="str">
            <v>장세래</v>
          </cell>
          <cell r="C168">
            <v>45876</v>
          </cell>
          <cell r="D168" t="str">
            <v>홀리추얼 울트라 너리싱 어드밴스드 토너 150ML 내캡</v>
          </cell>
          <cell r="E168">
            <v>3.1</v>
          </cell>
          <cell r="F168">
            <v>15</v>
          </cell>
          <cell r="G168">
            <v>4</v>
          </cell>
        </row>
        <row r="169">
          <cell r="A169" t="str">
            <v>SI1626_20250708</v>
          </cell>
          <cell r="B169" t="str">
            <v>유재호</v>
          </cell>
          <cell r="C169">
            <v>45869</v>
          </cell>
          <cell r="D169" t="str">
            <v>설화수 진설명작크림 (견) 10ML (AD 내캡</v>
          </cell>
          <cell r="E169">
            <v>5.54</v>
          </cell>
          <cell r="F169">
            <v>16</v>
          </cell>
          <cell r="H169">
            <v>52</v>
          </cell>
          <cell r="O169" t="str">
            <v>코아전진2.5초,코아 후진3초  슬라이드 벗어난 후 코아 후진</v>
          </cell>
        </row>
        <row r="170">
          <cell r="A170" t="str">
            <v>SI1631_20250708</v>
          </cell>
          <cell r="B170" t="str">
            <v>유재호</v>
          </cell>
          <cell r="C170">
            <v>45869</v>
          </cell>
          <cell r="D170" t="str">
            <v>설화수 진설명작크림 (견) 5ML (AD 내캡</v>
          </cell>
          <cell r="E170">
            <v>4.7</v>
          </cell>
          <cell r="F170">
            <v>16</v>
          </cell>
          <cell r="H170">
            <v>51</v>
          </cell>
          <cell r="N170" t="str">
            <v>슬라이즈 장니플 설치 요망</v>
          </cell>
          <cell r="O170" t="str">
            <v>코아전진2.5초,코아 후진3초  슬라이드 벗어난 후 코아 후진</v>
          </cell>
        </row>
        <row r="171">
          <cell r="A171" t="str">
            <v>SI1632_20250708</v>
          </cell>
          <cell r="B171" t="str">
            <v>유재호</v>
          </cell>
          <cell r="C171">
            <v>45868</v>
          </cell>
          <cell r="D171" t="str">
            <v>설화수 진설명작크림 (견) 5ML (AD 단용기</v>
          </cell>
          <cell r="E171">
            <v>4.6500000000000004</v>
          </cell>
          <cell r="F171">
            <v>16</v>
          </cell>
          <cell r="H171">
            <v>44</v>
          </cell>
          <cell r="N171" t="str">
            <v>슬라이드 장니플 설치요망</v>
          </cell>
        </row>
        <row r="172">
          <cell r="A172" t="str">
            <v>SI1628_20250708</v>
          </cell>
          <cell r="B172" t="str">
            <v>유재호</v>
          </cell>
          <cell r="C172">
            <v>45868</v>
          </cell>
          <cell r="D172" t="str">
            <v>설화수 진설명작크림 (견) 10ML (AD 단용기</v>
          </cell>
          <cell r="E172">
            <v>5.26</v>
          </cell>
          <cell r="F172">
            <v>16</v>
          </cell>
          <cell r="H172">
            <v>46</v>
          </cell>
          <cell r="N172" t="str">
            <v>슬라이드 장니플설치요청</v>
          </cell>
        </row>
        <row r="173">
          <cell r="A173" t="str">
            <v>SI1625_20250708</v>
          </cell>
          <cell r="B173" t="str">
            <v>유재호</v>
          </cell>
          <cell r="C173">
            <v>45867</v>
          </cell>
          <cell r="D173" t="str">
            <v>설화수 진설명작크림 (견) 10ML (AD 외캡</v>
          </cell>
          <cell r="E173">
            <v>5.19</v>
          </cell>
          <cell r="F173">
            <v>26</v>
          </cell>
          <cell r="H173">
            <v>55</v>
          </cell>
        </row>
        <row r="174">
          <cell r="A174" t="str">
            <v>SI1630_20250708</v>
          </cell>
          <cell r="B174" t="str">
            <v>유재호</v>
          </cell>
          <cell r="C174">
            <v>45867</v>
          </cell>
          <cell r="D174" t="str">
            <v>설화수 진설명작크림 (견) 5ML (AD 외캡</v>
          </cell>
          <cell r="E174">
            <v>4.9000000000000004</v>
          </cell>
          <cell r="F174">
            <v>25</v>
          </cell>
          <cell r="H174">
            <v>55</v>
          </cell>
        </row>
        <row r="175">
          <cell r="A175" t="str">
            <v>SI1633_20250708</v>
          </cell>
          <cell r="B175" t="str">
            <v>유재호</v>
          </cell>
          <cell r="C175">
            <v>45868</v>
          </cell>
          <cell r="D175" t="str">
            <v>설화수 진설명작크림 (견) 5ML (AD 용기받침</v>
          </cell>
          <cell r="E175">
            <v>3.31</v>
          </cell>
          <cell r="F175">
            <v>16</v>
          </cell>
          <cell r="H175">
            <v>44.5</v>
          </cell>
        </row>
        <row r="176">
          <cell r="A176" t="str">
            <v>SI1627_20250708</v>
          </cell>
          <cell r="B176" t="str">
            <v>유재호</v>
          </cell>
          <cell r="C176">
            <v>45867</v>
          </cell>
          <cell r="D176" t="str">
            <v>설화수 진설명작크림 (견) 10ML (AD 용기받침</v>
          </cell>
          <cell r="E176">
            <v>4.0999999999999996</v>
          </cell>
          <cell r="F176">
            <v>20</v>
          </cell>
          <cell r="H176">
            <v>49</v>
          </cell>
        </row>
        <row r="177">
          <cell r="A177" t="str">
            <v>SI1619_20250708</v>
          </cell>
          <cell r="B177" t="str">
            <v>유재호</v>
          </cell>
          <cell r="C177">
            <v>45862</v>
          </cell>
          <cell r="D177" t="str">
            <v>설화수 진설명작크림 60ML (26AD 외용기</v>
          </cell>
          <cell r="E177">
            <v>9.5</v>
          </cell>
          <cell r="F177">
            <v>40</v>
          </cell>
          <cell r="H177">
            <v>76</v>
          </cell>
          <cell r="N177" t="str">
            <v>하측 바닦면 지저분함
나사경 외경 치수 미달
링크 고리 60m 줄여주세요
슬라이드 장니뿔 설치 요망</v>
          </cell>
        </row>
        <row r="178">
          <cell r="A178" t="str">
            <v>SI1623_20250708</v>
          </cell>
          <cell r="B178" t="str">
            <v>유재호</v>
          </cell>
          <cell r="C178">
            <v>45862</v>
          </cell>
          <cell r="D178" t="str">
            <v>설화수 진설명작크림 리필 60ML (26AD 단캡</v>
          </cell>
          <cell r="E178">
            <v>2.8</v>
          </cell>
          <cell r="F178">
            <v>25</v>
          </cell>
          <cell r="I178">
            <v>52</v>
          </cell>
        </row>
        <row r="179">
          <cell r="A179" t="str">
            <v>SI1616_20250708</v>
          </cell>
          <cell r="B179" t="str">
            <v>유재호</v>
          </cell>
          <cell r="C179">
            <v>45861</v>
          </cell>
          <cell r="D179" t="str">
            <v>설화수 진설명작크림 60ML (26AD 사출덮개</v>
          </cell>
          <cell r="E179">
            <v>2.75</v>
          </cell>
          <cell r="F179">
            <v>16</v>
          </cell>
          <cell r="N179" t="str">
            <v>로보트 취출 남됨</v>
          </cell>
          <cell r="O179" t="str">
            <v>취출 부위 각도 검토
안쪽면 다대랩핑 검토</v>
          </cell>
        </row>
        <row r="180">
          <cell r="A180" t="str">
            <v>SI1629_20250708</v>
          </cell>
          <cell r="B180" t="str">
            <v>유재호</v>
          </cell>
          <cell r="C180">
            <v>45861</v>
          </cell>
          <cell r="D180" t="str">
            <v>설화수 진설명작크림 (견) 10ML (AD 사출덮개</v>
          </cell>
          <cell r="E180">
            <v>1.54</v>
          </cell>
          <cell r="F180">
            <v>12</v>
          </cell>
          <cell r="H180">
            <v>34</v>
          </cell>
        </row>
        <row r="181">
          <cell r="A181" t="str">
            <v>SI1634_20250723</v>
          </cell>
          <cell r="B181" t="str">
            <v>유재호</v>
          </cell>
          <cell r="C181">
            <v>45861</v>
          </cell>
          <cell r="D181" t="str">
            <v>설화수 진설명작크림 (견) 5ML (AD 사출덮개</v>
          </cell>
          <cell r="E181">
            <v>1.5</v>
          </cell>
          <cell r="F181">
            <v>12</v>
          </cell>
          <cell r="H181">
            <v>34</v>
          </cell>
        </row>
        <row r="182">
          <cell r="A182" t="str">
            <v>SI1622_20250708</v>
          </cell>
          <cell r="B182" t="str">
            <v>유재호</v>
          </cell>
          <cell r="C182">
            <v>45859</v>
          </cell>
          <cell r="D182" t="str">
            <v>설화수 진설명작크림 60ML (26AD 스파츌러대 사출</v>
          </cell>
          <cell r="E182">
            <v>2.2999999999999998</v>
          </cell>
          <cell r="F182">
            <v>16</v>
          </cell>
          <cell r="H182">
            <v>36</v>
          </cell>
        </row>
        <row r="183">
          <cell r="A183" t="str">
            <v>SI1618_20250708</v>
          </cell>
          <cell r="B183" t="str">
            <v>유재호</v>
          </cell>
          <cell r="C183">
            <v>45860</v>
          </cell>
          <cell r="D183" t="str">
            <v>설화수 진설명작크림 60ML (26AD 내용기</v>
          </cell>
          <cell r="E183">
            <v>3.3</v>
          </cell>
          <cell r="F183">
            <v>16</v>
          </cell>
          <cell r="H183">
            <v>39</v>
          </cell>
          <cell r="M183" t="str">
            <v>형개중 로보트 취출</v>
          </cell>
          <cell r="N183" t="str">
            <v>링크 50m 줄여주세요.</v>
          </cell>
        </row>
        <row r="184">
          <cell r="A184" t="str">
            <v>SI1620_20250708</v>
          </cell>
          <cell r="B184" t="str">
            <v>유재호</v>
          </cell>
          <cell r="C184">
            <v>45859</v>
          </cell>
          <cell r="D184" t="str">
            <v>설화수 진설명작크림 60ML (26AD 용기받침 사출</v>
          </cell>
          <cell r="E184">
            <v>3</v>
          </cell>
          <cell r="F184">
            <v>18</v>
          </cell>
          <cell r="H184">
            <v>43</v>
          </cell>
          <cell r="M184" t="str">
            <v>로보트</v>
          </cell>
          <cell r="N184" t="str">
            <v>링크고리 80m 줄여주세요</v>
          </cell>
        </row>
        <row r="185">
          <cell r="A185" t="str">
            <v>SI1621_20250708</v>
          </cell>
          <cell r="B185" t="str">
            <v>유재호</v>
          </cell>
          <cell r="C185">
            <v>45859</v>
          </cell>
          <cell r="D185" t="str">
            <v>설화수 진설명작크림 60ML (26AD 숄더장식 사출</v>
          </cell>
          <cell r="E185">
            <v>2.6</v>
          </cell>
          <cell r="F185">
            <v>16</v>
          </cell>
          <cell r="H185">
            <v>40</v>
          </cell>
          <cell r="M185" t="str">
            <v>로보트</v>
          </cell>
          <cell r="N185" t="str">
            <v>링크고리 80m 줄여주세요
4번판 5번판이 정상적으로 안벌어짐</v>
          </cell>
        </row>
        <row r="186">
          <cell r="A186" t="str">
            <v>SI1617_20250708</v>
          </cell>
          <cell r="B186" t="str">
            <v>장세래</v>
          </cell>
          <cell r="C186">
            <v>45855</v>
          </cell>
          <cell r="D186" t="str">
            <v>설화수 진설명작크림 60ML (26AD 중용기</v>
          </cell>
          <cell r="E186">
            <v>2.1</v>
          </cell>
          <cell r="F186">
            <v>15</v>
          </cell>
          <cell r="M186" t="str">
            <v>로버트</v>
          </cell>
          <cell r="N186" t="str">
            <v>사출규격 미달, 압력증가시 파팅 burr</v>
          </cell>
        </row>
        <row r="187">
          <cell r="A187" t="str">
            <v>SI1615_20250708</v>
          </cell>
          <cell r="B187" t="str">
            <v>장세래</v>
          </cell>
          <cell r="C187">
            <v>45854</v>
          </cell>
          <cell r="D187" t="str">
            <v>설화수 진설명작크림 60ML (26AD 캡장식-하단링</v>
          </cell>
          <cell r="E187">
            <v>2.1</v>
          </cell>
          <cell r="F187">
            <v>15</v>
          </cell>
          <cell r="M187" t="str">
            <v>수동</v>
          </cell>
        </row>
        <row r="188">
          <cell r="A188" t="str">
            <v>SI1609_20250708</v>
          </cell>
          <cell r="B188" t="str">
            <v>장세래</v>
          </cell>
          <cell r="C188">
            <v>45854</v>
          </cell>
          <cell r="D188" t="str">
            <v>홀리추얼 울트라 너리싱 어드밴스드 토너 150ML 외캡 사출</v>
          </cell>
          <cell r="E188">
            <v>4.5</v>
          </cell>
          <cell r="F188">
            <v>25</v>
          </cell>
          <cell r="M188" t="str">
            <v>로버트</v>
          </cell>
        </row>
        <row r="189">
          <cell r="A189" t="str">
            <v>SI1614_20250708</v>
          </cell>
          <cell r="B189" t="str">
            <v>장세래</v>
          </cell>
          <cell r="C189">
            <v>45853</v>
          </cell>
          <cell r="D189" t="str">
            <v>설화수 진설명작크림 60ML (26AD 내캡</v>
          </cell>
          <cell r="E189">
            <v>3.5</v>
          </cell>
          <cell r="F189">
            <v>15</v>
          </cell>
          <cell r="G189">
            <v>9</v>
          </cell>
          <cell r="M189" t="str">
            <v>수동</v>
          </cell>
          <cell r="N189" t="str">
            <v>키잡이밀림</v>
          </cell>
        </row>
        <row r="190">
          <cell r="A190" t="str">
            <v>SI1610_20250703</v>
          </cell>
          <cell r="B190" t="str">
            <v>장세래</v>
          </cell>
          <cell r="C190">
            <v>45841</v>
          </cell>
          <cell r="D190" t="str">
            <v>홀리추얼 울트라 너리싱 어드밴스드 토너 150ML 캡장식 사출</v>
          </cell>
          <cell r="E190">
            <v>4.2</v>
          </cell>
          <cell r="F190">
            <v>15</v>
          </cell>
          <cell r="M190" t="str">
            <v>수동</v>
          </cell>
        </row>
        <row r="191">
          <cell r="A191" t="str">
            <v>SI1609_20250703</v>
          </cell>
          <cell r="B191">
            <v>0</v>
          </cell>
          <cell r="C191">
            <v>45841</v>
          </cell>
          <cell r="D191" t="str">
            <v>홀리추얼 울트라 너리싱 어드밴스드 토너 150ML 외캡 사출</v>
          </cell>
          <cell r="E191">
            <v>4.0999999999999996</v>
          </cell>
          <cell r="F191">
            <v>25</v>
          </cell>
          <cell r="M191" t="str">
            <v>로버트</v>
          </cell>
        </row>
        <row r="192">
          <cell r="A192" t="str">
            <v>SI1611_20250703</v>
          </cell>
          <cell r="B192" t="str">
            <v>장세래</v>
          </cell>
          <cell r="C192">
            <v>45841</v>
          </cell>
          <cell r="D192" t="str">
            <v>홀리추얼 울트라 너리싱 어드밴스드 토너 150ML 내캡</v>
          </cell>
          <cell r="E192">
            <v>3.1</v>
          </cell>
          <cell r="F192">
            <v>15</v>
          </cell>
          <cell r="G192">
            <v>4</v>
          </cell>
          <cell r="M192" t="str">
            <v>로버트</v>
          </cell>
        </row>
        <row r="193">
          <cell r="A193" t="str">
            <v>SI1606_20250630</v>
          </cell>
          <cell r="B193" t="str">
            <v>유재호</v>
          </cell>
          <cell r="C193">
            <v>45840</v>
          </cell>
          <cell r="D193" t="str">
            <v>(EUSA)라네즈 실키앤스무스 토너 150mL (26 내캡</v>
          </cell>
          <cell r="E193">
            <v>3.71</v>
          </cell>
          <cell r="F193">
            <v>18</v>
          </cell>
          <cell r="H193">
            <v>52</v>
          </cell>
        </row>
        <row r="194">
          <cell r="A194" t="str">
            <v>SI1600_20250623</v>
          </cell>
          <cell r="B194" t="str">
            <v>유재호</v>
          </cell>
          <cell r="C194">
            <v>45835</v>
          </cell>
          <cell r="D194" t="str">
            <v>미쟝센 퍼펙트 오일 인퓨전 헤어 마스크150g(25 단캡</v>
          </cell>
          <cell r="E194">
            <v>3.6</v>
          </cell>
          <cell r="F194">
            <v>35</v>
          </cell>
          <cell r="H194">
            <v>68</v>
          </cell>
          <cell r="M194" t="str">
            <v>형개중 하강</v>
          </cell>
        </row>
        <row r="195">
          <cell r="A195" t="str">
            <v>SI1601_20250618</v>
          </cell>
          <cell r="B195" t="str">
            <v>한창구</v>
          </cell>
          <cell r="C195">
            <v>45835</v>
          </cell>
          <cell r="D195" t="str">
            <v>미쟝센 퍼펙트 오일 인퓨전 헤어 마스크150g(25 단용기</v>
          </cell>
          <cell r="E195">
            <v>6.05</v>
          </cell>
          <cell r="F195">
            <v>35</v>
          </cell>
          <cell r="H195">
            <v>64</v>
          </cell>
          <cell r="M195" t="str">
            <v>로보트</v>
          </cell>
          <cell r="N195" t="str">
            <v>3번cavity 벨런스 확인 ,게이트 돌출</v>
          </cell>
        </row>
        <row r="196">
          <cell r="A196" t="str">
            <v>SI1606_20250618</v>
          </cell>
          <cell r="B196" t="str">
            <v>장세래</v>
          </cell>
          <cell r="C196">
            <v>45833</v>
          </cell>
          <cell r="D196" t="str">
            <v>(EUSA)라네즈 실키앤스무스 토너 150mL (26 내캡</v>
          </cell>
          <cell r="E196">
            <v>3.7</v>
          </cell>
          <cell r="F196">
            <v>18</v>
          </cell>
          <cell r="G196">
            <v>4.5</v>
          </cell>
          <cell r="M196" t="str">
            <v>로버트</v>
          </cell>
        </row>
        <row r="197">
          <cell r="A197" t="str">
            <v>SI1611_20250623</v>
          </cell>
          <cell r="B197" t="str">
            <v>장세래</v>
          </cell>
          <cell r="C197">
            <v>45833</v>
          </cell>
          <cell r="D197" t="str">
            <v>홀리추얼 울트라 너리싱 어드밴스드 토너 150ML 내캡</v>
          </cell>
          <cell r="E197">
            <v>3</v>
          </cell>
          <cell r="F197">
            <v>15</v>
          </cell>
          <cell r="G197">
            <v>4</v>
          </cell>
          <cell r="M197" t="str">
            <v>로버트</v>
          </cell>
        </row>
        <row r="198">
          <cell r="A198" t="str">
            <v>SI1609_20250623</v>
          </cell>
          <cell r="B198" t="str">
            <v>장세래</v>
          </cell>
          <cell r="C198">
            <v>45832</v>
          </cell>
          <cell r="D198" t="str">
            <v>홀리추얼 울트라 너리싱 어드밴스드 토너 150ML 외캡 사출</v>
          </cell>
          <cell r="E198">
            <v>5.8</v>
          </cell>
          <cell r="F198">
            <v>20</v>
          </cell>
        </row>
        <row r="199">
          <cell r="A199" t="str">
            <v>SI1610_20250623</v>
          </cell>
          <cell r="B199" t="str">
            <v>장세래</v>
          </cell>
          <cell r="C199">
            <v>45832</v>
          </cell>
          <cell r="D199" t="str">
            <v>홀리추얼 울트라 너리싱 어드밴스드 토너 150ML 캡장식 사출</v>
          </cell>
          <cell r="E199">
            <v>3.8</v>
          </cell>
          <cell r="F199">
            <v>15</v>
          </cell>
          <cell r="M199" t="str">
            <v>로버트</v>
          </cell>
        </row>
        <row r="200">
          <cell r="A200" t="str">
            <v>SI1600_20250613</v>
          </cell>
          <cell r="B200" t="str">
            <v>한창구</v>
          </cell>
          <cell r="C200">
            <v>45821</v>
          </cell>
          <cell r="D200" t="str">
            <v>미쟝센 퍼펙트 오일 인퓨전 헤어 마스크150g(25 단캡</v>
          </cell>
          <cell r="E200">
            <v>7.4</v>
          </cell>
          <cell r="F200">
            <v>35</v>
          </cell>
          <cell r="H200">
            <v>66.8</v>
          </cell>
        </row>
        <row r="201">
          <cell r="A201" t="str">
            <v>SI1606_20250609</v>
          </cell>
          <cell r="B201" t="str">
            <v>장세래</v>
          </cell>
          <cell r="C201">
            <v>45821</v>
          </cell>
          <cell r="D201" t="str">
            <v>(EUSA)라네즈 실키앤스무스 토너 150mL (26 내캡</v>
          </cell>
          <cell r="E201">
            <v>3.83</v>
          </cell>
          <cell r="F201">
            <v>20</v>
          </cell>
          <cell r="M201" t="str">
            <v>로버트</v>
          </cell>
        </row>
        <row r="202">
          <cell r="A202" t="str">
            <v>김유미</v>
          </cell>
          <cell r="B202" t="str">
            <v/>
          </cell>
          <cell r="C202" t="str">
            <v/>
          </cell>
          <cell r="D202" t="str">
            <v/>
          </cell>
        </row>
        <row r="203">
          <cell r="A203" t="str">
            <v>테스트</v>
          </cell>
          <cell r="B203" t="str">
            <v/>
          </cell>
          <cell r="C203" t="str">
            <v/>
          </cell>
          <cell r="D203" t="str">
            <v/>
          </cell>
        </row>
        <row r="204">
          <cell r="A204" t="str">
            <v>SI1600_20250606</v>
          </cell>
          <cell r="B204" t="str">
            <v>장세래</v>
          </cell>
          <cell r="C204">
            <v>45814</v>
          </cell>
          <cell r="D204" t="str">
            <v>미쟝센 퍼펙트 오일 인퓨전 헤어 마스크150g(25 단캡</v>
          </cell>
          <cell r="E204">
            <v>3.61</v>
          </cell>
          <cell r="F204">
            <v>30</v>
          </cell>
          <cell r="M204" t="str">
            <v>로버트</v>
          </cell>
        </row>
        <row r="205">
          <cell r="A205" t="str">
            <v>SI1605_20250522</v>
          </cell>
          <cell r="B205" t="str">
            <v>장세래</v>
          </cell>
          <cell r="C205">
            <v>45812</v>
          </cell>
          <cell r="D205" t="str">
            <v>(EUSA)라네즈 실키앤스무스 토너 150mL (26 외캡</v>
          </cell>
          <cell r="E205">
            <v>5.5</v>
          </cell>
          <cell r="F205">
            <v>25</v>
          </cell>
          <cell r="M205" t="str">
            <v>로버트</v>
          </cell>
        </row>
        <row r="206">
          <cell r="A206" t="str">
            <v>SI1606_20250522</v>
          </cell>
          <cell r="B206" t="str">
            <v>장세래</v>
          </cell>
          <cell r="C206">
            <v>45806</v>
          </cell>
          <cell r="D206" t="str">
            <v>(EUSA)라네즈 실키앤스무스 토너 150mL (26 내캡</v>
          </cell>
          <cell r="E206">
            <v>4.2</v>
          </cell>
          <cell r="F206">
            <v>18</v>
          </cell>
          <cell r="M206" t="str">
            <v>로버트</v>
          </cell>
        </row>
        <row r="207">
          <cell r="A207" t="str">
            <v>SI1606_20250519</v>
          </cell>
          <cell r="B207" t="str">
            <v>한창구</v>
          </cell>
          <cell r="C207">
            <v>45797</v>
          </cell>
          <cell r="D207" t="str">
            <v>(EUSA)라네즈 실키앤스무스 토너 150mL (26 내캡</v>
          </cell>
          <cell r="E207">
            <v>6</v>
          </cell>
          <cell r="F207">
            <v>18</v>
          </cell>
          <cell r="G207" t="str">
            <v>전진4.5후진3.5</v>
          </cell>
          <cell r="H207">
            <v>42</v>
          </cell>
          <cell r="M207" t="str">
            <v>로보트</v>
          </cell>
          <cell r="N207" t="str">
            <v>게이트옆리브미성형</v>
          </cell>
        </row>
        <row r="208">
          <cell r="A208" t="str">
            <v>SI1605_20250519</v>
          </cell>
          <cell r="B208" t="str">
            <v>유재호</v>
          </cell>
          <cell r="C208">
            <v>45796</v>
          </cell>
          <cell r="D208" t="str">
            <v>(EUSA)라네즈 실키앤스무스 토너 150mL (26 외캡</v>
          </cell>
          <cell r="E208">
            <v>4.8</v>
          </cell>
          <cell r="F208">
            <v>24</v>
          </cell>
          <cell r="M208" t="str">
            <v>형개중 하강</v>
          </cell>
          <cell r="N208" t="str">
            <v>런너 취출 안됌</v>
          </cell>
        </row>
        <row r="209">
          <cell r="A209" t="str">
            <v>SI1600_20250421</v>
          </cell>
          <cell r="B209" t="str">
            <v/>
          </cell>
          <cell r="C209" t="str">
            <v/>
          </cell>
          <cell r="D209" t="str">
            <v/>
          </cell>
          <cell r="E209">
            <v>5.9</v>
          </cell>
          <cell r="F209">
            <v>30</v>
          </cell>
          <cell r="M209" t="str">
            <v>로버트</v>
          </cell>
        </row>
        <row r="210">
          <cell r="A210" t="str">
            <v>SI1600_20250416</v>
          </cell>
          <cell r="B210" t="str">
            <v>장세래</v>
          </cell>
          <cell r="C210">
            <v>45768</v>
          </cell>
          <cell r="D210" t="str">
            <v>미쟝센 퍼펙트 오일 인퓨전 헤어 마스크150g(25 단캡</v>
          </cell>
          <cell r="E210">
            <v>5.8</v>
          </cell>
          <cell r="F210">
            <v>30</v>
          </cell>
          <cell r="M210" t="str">
            <v>로버트</v>
          </cell>
        </row>
        <row r="211">
          <cell r="A211" t="str">
            <v>SI1601_20250417</v>
          </cell>
          <cell r="B211" t="str">
            <v>장세래</v>
          </cell>
          <cell r="C211">
            <v>45765</v>
          </cell>
          <cell r="D211" t="str">
            <v>미쟝센 퍼펙트 오일 인퓨전 헤어 마스크150g(25 단용기</v>
          </cell>
          <cell r="E211">
            <v>6.24</v>
          </cell>
          <cell r="F211">
            <v>25</v>
          </cell>
          <cell r="M211" t="str">
            <v>로버트</v>
          </cell>
        </row>
        <row r="212">
          <cell r="A212" t="str">
            <v>SI1598_20250408</v>
          </cell>
          <cell r="B212" t="str">
            <v>유재호</v>
          </cell>
          <cell r="C212">
            <v>45756</v>
          </cell>
          <cell r="D212" t="str">
            <v>라네즈 바운시슬리핑마스크 70ML (20AD 단캡</v>
          </cell>
          <cell r="E212">
            <v>4.83</v>
          </cell>
          <cell r="F212">
            <v>20</v>
          </cell>
          <cell r="H212">
            <v>62</v>
          </cell>
          <cell r="M212" t="str">
            <v>형개중하강</v>
          </cell>
        </row>
        <row r="213">
          <cell r="A213" t="str">
            <v>SI1601_20250402</v>
          </cell>
          <cell r="B213" t="str">
            <v>장세래</v>
          </cell>
          <cell r="C213">
            <v>45751</v>
          </cell>
          <cell r="D213" t="str">
            <v>미쟝센 퍼펙트 오일 인퓨전 헤어 마스크150g(25 단용기</v>
          </cell>
          <cell r="E213">
            <v>6.2</v>
          </cell>
          <cell r="F213">
            <v>25</v>
          </cell>
          <cell r="H213">
            <v>58</v>
          </cell>
        </row>
        <row r="214">
          <cell r="A214" t="str">
            <v>SI1600_20250402</v>
          </cell>
          <cell r="B214" t="str">
            <v>장세래</v>
          </cell>
          <cell r="C214">
            <v>45751</v>
          </cell>
          <cell r="D214" t="str">
            <v>미쟝센 퍼펙트 오일 인퓨전 헤어 마스크150g(25 단캡</v>
          </cell>
          <cell r="E214">
            <v>5.7</v>
          </cell>
          <cell r="F214">
            <v>30</v>
          </cell>
          <cell r="H214">
            <v>66.099999999999994</v>
          </cell>
        </row>
        <row r="215">
          <cell r="A215" t="str">
            <v>SI1558_20250321</v>
          </cell>
          <cell r="B215" t="str">
            <v>유재호</v>
          </cell>
          <cell r="C215">
            <v>45737</v>
          </cell>
          <cell r="D215" t="str">
            <v>라보에이치 모발강화 트리트먼트 200ml 50파이 장식</v>
          </cell>
          <cell r="E215">
            <v>2.25</v>
          </cell>
          <cell r="F215">
            <v>15</v>
          </cell>
          <cell r="H215">
            <v>40</v>
          </cell>
          <cell r="M215" t="str">
            <v>로보트</v>
          </cell>
        </row>
        <row r="216">
          <cell r="A216" t="str">
            <v>SI1560_20250321</v>
          </cell>
          <cell r="B216" t="str">
            <v>유재호</v>
          </cell>
          <cell r="C216">
            <v>45737</v>
          </cell>
          <cell r="D216" t="str">
            <v>라보에이치 모발강화 트리트먼트 300ml 60파이 장식</v>
          </cell>
          <cell r="E216">
            <v>2.54</v>
          </cell>
          <cell r="F216">
            <v>15</v>
          </cell>
          <cell r="H216">
            <v>40</v>
          </cell>
          <cell r="M216" t="str">
            <v>로보트</v>
          </cell>
        </row>
        <row r="217">
          <cell r="A217" t="str">
            <v>SI1596_20250318</v>
          </cell>
          <cell r="B217" t="str">
            <v>한창구</v>
          </cell>
          <cell r="C217">
            <v>45735</v>
          </cell>
          <cell r="D217" t="str">
            <v>라네즈 워터슬리핑마스크 70ML (20AD 외용기</v>
          </cell>
          <cell r="F217">
            <v>45</v>
          </cell>
          <cell r="H217">
            <v>74.7</v>
          </cell>
          <cell r="M217" t="str">
            <v>로보트</v>
          </cell>
        </row>
        <row r="218">
          <cell r="A218" t="str">
            <v>SI1597_20250307</v>
          </cell>
          <cell r="B218" t="str">
            <v>유재호</v>
          </cell>
          <cell r="C218">
            <v>45723</v>
          </cell>
          <cell r="D218" t="str">
            <v>아모레 원터치캡 45파이</v>
          </cell>
          <cell r="E218">
            <v>2.5099999999999998</v>
          </cell>
          <cell r="F218">
            <v>20</v>
          </cell>
          <cell r="M218" t="str">
            <v>수동</v>
          </cell>
          <cell r="N218" t="str">
            <v>외경 기준 규격 미달</v>
          </cell>
        </row>
        <row r="219">
          <cell r="A219" t="str">
            <v>SI1592_20250204</v>
          </cell>
          <cell r="B219" t="str">
            <v>유재호</v>
          </cell>
          <cell r="C219">
            <v>45716</v>
          </cell>
          <cell r="D219" t="str">
            <v>라네즈 워터슬리핑마스크 70ML (20AD 내용기</v>
          </cell>
          <cell r="E219">
            <v>2.23</v>
          </cell>
          <cell r="F219">
            <v>16</v>
          </cell>
          <cell r="H219">
            <v>52</v>
          </cell>
          <cell r="M219" t="str">
            <v>로보트</v>
          </cell>
        </row>
        <row r="220">
          <cell r="A220" t="str">
            <v>SI1590_20250204</v>
          </cell>
          <cell r="B220" t="str">
            <v>유재호</v>
          </cell>
          <cell r="C220">
            <v>45716</v>
          </cell>
          <cell r="D220" t="str">
            <v/>
          </cell>
          <cell r="E220">
            <v>2.85</v>
          </cell>
          <cell r="F220">
            <v>16</v>
          </cell>
          <cell r="I220">
            <v>50</v>
          </cell>
          <cell r="M220" t="str">
            <v>고정측 취출</v>
          </cell>
        </row>
        <row r="221">
          <cell r="A221" t="str">
            <v>SI1543_20250227</v>
          </cell>
          <cell r="B221" t="str">
            <v>유재호</v>
          </cell>
          <cell r="C221">
            <v>45715</v>
          </cell>
          <cell r="D221" t="str">
            <v>아이오페 스템Ⅲ 클리니컬 리커버리 크림 50ML(25) 내용기</v>
          </cell>
          <cell r="E221">
            <v>2.88</v>
          </cell>
          <cell r="F221">
            <v>18</v>
          </cell>
        </row>
        <row r="222">
          <cell r="A222" t="str">
            <v>SI1591_20250224</v>
          </cell>
          <cell r="B222" t="str">
            <v>유재호</v>
          </cell>
          <cell r="C222">
            <v>45712</v>
          </cell>
          <cell r="D222" t="str">
            <v>라네즈 워터슬리핑마스크 70ML (20AD 단캡</v>
          </cell>
          <cell r="E222">
            <v>4.24</v>
          </cell>
          <cell r="F222">
            <v>20</v>
          </cell>
          <cell r="H222">
            <v>59</v>
          </cell>
          <cell r="M222" t="str">
            <v>형개중 하강</v>
          </cell>
        </row>
        <row r="223">
          <cell r="A223" t="str">
            <v>SI1591_20250204</v>
          </cell>
          <cell r="B223" t="str">
            <v>장세래</v>
          </cell>
          <cell r="C223">
            <v>45708</v>
          </cell>
          <cell r="D223" t="str">
            <v>라네즈 워터슬리핑마스크 70ML (20AD 단캡</v>
          </cell>
          <cell r="E223">
            <v>4.2300000000000004</v>
          </cell>
          <cell r="F223">
            <v>20</v>
          </cell>
          <cell r="H223">
            <v>61</v>
          </cell>
          <cell r="M223" t="str">
            <v>로보트</v>
          </cell>
          <cell r="N223" t="str">
            <v>No3판 냉각
회전코아 오염 발생</v>
          </cell>
        </row>
        <row r="224">
          <cell r="A224" t="str">
            <v>SI1596_20250219</v>
          </cell>
          <cell r="B224" t="str">
            <v>장세래</v>
          </cell>
          <cell r="C224">
            <v>45707</v>
          </cell>
          <cell r="D224" t="str">
            <v>라네즈 워터슬리핑마스크 70ML (20AD 외용기</v>
          </cell>
          <cell r="E224">
            <v>7.67</v>
          </cell>
          <cell r="F224">
            <v>45</v>
          </cell>
          <cell r="H224">
            <v>77.7</v>
          </cell>
          <cell r="M224" t="str">
            <v>로보트</v>
          </cell>
          <cell r="N224" t="str">
            <v xml:space="preserve">No2:하측코아 찍힘,중량 과다(벨런스 확인)  No3,4 벨브핀 burr  제품 모두 슬라이드 파팅 burr  게이트 품질 안좋음  </v>
          </cell>
          <cell r="O224" t="str">
            <v>제품 취출시 내측 기스 발생(래핑 요청)  양산 시 게이트 품질 이슈 발생 예상(구조 변경 가능한지)</v>
          </cell>
        </row>
        <row r="225">
          <cell r="A225" t="str">
            <v>SI1541_20250204</v>
          </cell>
          <cell r="B225" t="str">
            <v>장세래</v>
          </cell>
          <cell r="C225">
            <v>45701</v>
          </cell>
          <cell r="D225" t="str">
            <v>아이오페 스템Ⅲ 클리니컬 리커버리 크림 50ML(25) 외캡 사출</v>
          </cell>
          <cell r="E225">
            <v>7.12</v>
          </cell>
          <cell r="F225">
            <v>33</v>
          </cell>
          <cell r="G225">
            <v>60</v>
          </cell>
        </row>
        <row r="226">
          <cell r="A226" t="str">
            <v>SI1540_20250204</v>
          </cell>
          <cell r="B226" t="str">
            <v>장세래</v>
          </cell>
          <cell r="C226">
            <v>45700</v>
          </cell>
          <cell r="D226" t="str">
            <v>아이오페 스템Ⅲ 클리니컬 리커버리 크림 50ML(25) 캡장식 사출</v>
          </cell>
          <cell r="E226">
            <v>3.8</v>
          </cell>
          <cell r="F226">
            <v>20</v>
          </cell>
          <cell r="H226">
            <v>51.7</v>
          </cell>
        </row>
        <row r="227">
          <cell r="A227" t="str">
            <v>SI1542_20250204</v>
          </cell>
          <cell r="B227" t="str">
            <v>유재호</v>
          </cell>
          <cell r="C227">
            <v>45699</v>
          </cell>
          <cell r="D227" t="str">
            <v>아이오페 스템Ⅲ 클리니컬 리커버리 크림 50ML(25) 내캡 사출</v>
          </cell>
          <cell r="E227">
            <v>3.76</v>
          </cell>
          <cell r="F227">
            <v>18</v>
          </cell>
          <cell r="I227">
            <v>54</v>
          </cell>
        </row>
        <row r="228">
          <cell r="A228" t="str">
            <v>SI1543_20250204</v>
          </cell>
          <cell r="B228" t="str">
            <v>유재호</v>
          </cell>
          <cell r="C228">
            <v>45699</v>
          </cell>
          <cell r="D228" t="str">
            <v>아이오페 스템Ⅲ 클리니컬 리커버리 크림 50ML(25) 내용기</v>
          </cell>
          <cell r="E228">
            <v>3.01</v>
          </cell>
          <cell r="F228">
            <v>16</v>
          </cell>
        </row>
        <row r="229">
          <cell r="A229" t="str">
            <v>SI1569_20250114</v>
          </cell>
          <cell r="B229" t="str">
            <v>장세래</v>
          </cell>
          <cell r="C229">
            <v>45681</v>
          </cell>
          <cell r="D229" t="str">
            <v>(수출)라네즈 유스콜라겐드링크 25ml*30EA 패키지변경 25AD 캡</v>
          </cell>
          <cell r="E229">
            <v>3.06</v>
          </cell>
          <cell r="F229">
            <v>10</v>
          </cell>
          <cell r="G229">
            <v>2.5</v>
          </cell>
          <cell r="M229" t="str">
            <v>수동</v>
          </cell>
        </row>
        <row r="230">
          <cell r="A230" t="str">
            <v>SI1591_20250116</v>
          </cell>
          <cell r="B230" t="str">
            <v>유재호</v>
          </cell>
          <cell r="C230">
            <v>45681</v>
          </cell>
          <cell r="D230" t="str">
            <v>라네즈 워터슬리핑마스크 70ML (20AD 단캡</v>
          </cell>
          <cell r="E230">
            <v>4.0999999999999996</v>
          </cell>
          <cell r="F230">
            <v>28</v>
          </cell>
          <cell r="M230" t="str">
            <v>형개중하강</v>
          </cell>
          <cell r="N230" t="str">
            <v xml:space="preserve">2,3,4,6번판 냉각 막힘 4번 하단 바리   제품 상측에 오염 발생
</v>
          </cell>
        </row>
        <row r="231">
          <cell r="A231" t="str">
            <v>SI1592_20250116</v>
          </cell>
          <cell r="B231" t="str">
            <v>유재호</v>
          </cell>
          <cell r="C231">
            <v>45679</v>
          </cell>
          <cell r="D231" t="str">
            <v>라네즈 워터슬리핑마스크 70ML (20AD 내용기</v>
          </cell>
          <cell r="E231">
            <v>2.95</v>
          </cell>
          <cell r="F231">
            <v>20</v>
          </cell>
          <cell r="M231" t="str">
            <v>수동</v>
          </cell>
          <cell r="N231" t="str">
            <v>냉각라인 모두 막힘</v>
          </cell>
        </row>
        <row r="232">
          <cell r="A232" t="str">
            <v>SI1590_20250116</v>
          </cell>
          <cell r="B232" t="str">
            <v>유재호</v>
          </cell>
          <cell r="C232">
            <v>45679</v>
          </cell>
          <cell r="D232" t="str">
            <v>라네즈 시카슬리핑마스크 60ML (21AD 내용기</v>
          </cell>
          <cell r="E232">
            <v>2.83</v>
          </cell>
          <cell r="F232">
            <v>16</v>
          </cell>
          <cell r="M232" t="str">
            <v>수동</v>
          </cell>
          <cell r="N232" t="str">
            <v>주입구 파팅 버</v>
          </cell>
        </row>
        <row r="233">
          <cell r="A233" t="str">
            <v>SI1558_20250120</v>
          </cell>
          <cell r="B233" t="str">
            <v>유재호</v>
          </cell>
          <cell r="C233">
            <v>45677</v>
          </cell>
          <cell r="D233" t="str">
            <v>라보에이치 모발강화 트리트먼트 200ml 50파이 장식</v>
          </cell>
          <cell r="E233">
            <v>2.35</v>
          </cell>
          <cell r="F233">
            <v>16</v>
          </cell>
          <cell r="H233">
            <v>51</v>
          </cell>
        </row>
        <row r="234">
          <cell r="A234" t="str">
            <v>SI1560_20250120</v>
          </cell>
          <cell r="B234" t="str">
            <v>유재호</v>
          </cell>
          <cell r="C234">
            <v>45677</v>
          </cell>
          <cell r="D234" t="str">
            <v>라보에이치 모발강화 트리트먼트 300ml 60파이 장식</v>
          </cell>
          <cell r="E234">
            <v>1.95</v>
          </cell>
          <cell r="F234">
            <v>16</v>
          </cell>
          <cell r="H234">
            <v>51</v>
          </cell>
          <cell r="M234" t="str">
            <v>로보트</v>
          </cell>
        </row>
        <row r="235">
          <cell r="A235" t="str">
            <v>SI1557_20250116</v>
          </cell>
          <cell r="B235" t="str">
            <v>유재호</v>
          </cell>
          <cell r="C235">
            <v>45677</v>
          </cell>
          <cell r="D235" t="str">
            <v>라보에이치 모발강화 트리트먼트 200ml 50파이 원터치캡</v>
          </cell>
          <cell r="E235">
            <v>3.26</v>
          </cell>
          <cell r="F235">
            <v>23</v>
          </cell>
        </row>
        <row r="236">
          <cell r="A236" t="str">
            <v>SI1538_20241008</v>
          </cell>
          <cell r="B236" t="str">
            <v>장세래</v>
          </cell>
          <cell r="C236">
            <v>45579</v>
          </cell>
          <cell r="D236" t="str">
            <v>설화수 진설클렌징폼 150ml (25AD 외캡</v>
          </cell>
          <cell r="E236">
            <v>5</v>
          </cell>
          <cell r="F236">
            <v>25</v>
          </cell>
          <cell r="M236" t="str">
            <v>수동</v>
          </cell>
        </row>
        <row r="237">
          <cell r="A237" t="str">
            <v>SI1543_20241014</v>
          </cell>
          <cell r="B237" t="str">
            <v>한창구</v>
          </cell>
          <cell r="C237">
            <v>45581</v>
          </cell>
          <cell r="D237" t="str">
            <v>아이오페 스템Ⅲ 클리니컬 리커버리 크림 50ML(25) 내용기</v>
          </cell>
          <cell r="F237">
            <v>24</v>
          </cell>
          <cell r="H237">
            <v>49</v>
          </cell>
          <cell r="M237" t="str">
            <v>로보트</v>
          </cell>
        </row>
        <row r="238">
          <cell r="A238" t="str">
            <v>SI1541_20241014</v>
          </cell>
          <cell r="B238" t="str">
            <v>한창구</v>
          </cell>
          <cell r="C238">
            <v>45581</v>
          </cell>
          <cell r="D238" t="str">
            <v>아이오페 스템Ⅲ 클리니컬 리커버리 크림 50ML(25) 외캡 사출</v>
          </cell>
          <cell r="E238">
            <v>13.99</v>
          </cell>
          <cell r="F238">
            <v>35</v>
          </cell>
          <cell r="H238">
            <v>66.42</v>
          </cell>
          <cell r="M238" t="str">
            <v>로보트</v>
          </cell>
        </row>
        <row r="239">
          <cell r="A239" t="str">
            <v>SI0992_20241014</v>
          </cell>
          <cell r="B239" t="str">
            <v>장세래</v>
          </cell>
          <cell r="C239">
            <v>45583</v>
          </cell>
          <cell r="D239" t="str">
            <v>일리윤 히알루론모이스춰수분크림 100ML (24 외용기 사출</v>
          </cell>
          <cell r="E239">
            <v>9.5500000000000007</v>
          </cell>
          <cell r="F239">
            <v>20</v>
          </cell>
          <cell r="H239">
            <v>45.42</v>
          </cell>
          <cell r="M239" t="str">
            <v>로보트</v>
          </cell>
          <cell r="N239" t="str">
            <v>M241296_02 금형실험</v>
          </cell>
        </row>
        <row r="240">
          <cell r="A240" t="str">
            <v>SI0993_20241014</v>
          </cell>
          <cell r="B240" t="str">
            <v>장세래</v>
          </cell>
          <cell r="C240">
            <v>45583</v>
          </cell>
          <cell r="D240" t="str">
            <v>일리윤 프로바이오틱스 스킨 배리어 크림 100ML 캡 사출</v>
          </cell>
          <cell r="E240">
            <v>7.36</v>
          </cell>
          <cell r="F240">
            <v>18</v>
          </cell>
          <cell r="G240">
            <v>4</v>
          </cell>
          <cell r="H240">
            <v>52.5</v>
          </cell>
          <cell r="K240">
            <v>3</v>
          </cell>
          <cell r="M240" t="str">
            <v>로보트</v>
          </cell>
          <cell r="N240" t="str">
            <v>M241294_02 금형실험, 형계중 취출</v>
          </cell>
        </row>
        <row r="241">
          <cell r="A241" t="str">
            <v>SI0994_20241014</v>
          </cell>
          <cell r="B241" t="str">
            <v>장세래</v>
          </cell>
          <cell r="C241">
            <v>45584</v>
          </cell>
          <cell r="D241" t="str">
            <v>일리윤 히알루론모이스춰수분크림 100ML (21 내용기 사출</v>
          </cell>
          <cell r="E241">
            <v>7.3</v>
          </cell>
          <cell r="F241">
            <v>18</v>
          </cell>
          <cell r="H241">
            <v>47.9</v>
          </cell>
          <cell r="M241" t="str">
            <v>로보트</v>
          </cell>
          <cell r="N241" t="str">
            <v>M241295_02 금형실험</v>
          </cell>
        </row>
        <row r="242">
          <cell r="A242" t="str">
            <v>SI1539_20241017</v>
          </cell>
          <cell r="B242" t="str">
            <v>유재호</v>
          </cell>
          <cell r="C242">
            <v>45587</v>
          </cell>
          <cell r="D242" t="str">
            <v>설화수 진설클렌징폼 150ml (25AD 내캡</v>
          </cell>
          <cell r="E242">
            <v>6.5</v>
          </cell>
          <cell r="F242">
            <v>15</v>
          </cell>
          <cell r="H242">
            <v>46</v>
          </cell>
          <cell r="M242" t="str">
            <v>에젝타 취출</v>
          </cell>
        </row>
        <row r="243">
          <cell r="A243" t="str">
            <v>SI1553_20241017</v>
          </cell>
          <cell r="B243" t="str">
            <v>유재호</v>
          </cell>
          <cell r="C243">
            <v>45587</v>
          </cell>
          <cell r="D243" t="str">
            <v>설화수 진설클렌징폼 견본 40ml (25AD 내캡</v>
          </cell>
          <cell r="E243">
            <v>5.5</v>
          </cell>
          <cell r="F243">
            <v>15</v>
          </cell>
          <cell r="H243">
            <v>46</v>
          </cell>
          <cell r="M243" t="str">
            <v>에젝타 취출</v>
          </cell>
          <cell r="N243" t="str">
            <v>금형 수정후 즉시 32.40~32.45</v>
          </cell>
        </row>
        <row r="244">
          <cell r="A244" t="str">
            <v>SI1538_20241017</v>
          </cell>
          <cell r="B244" t="str">
            <v>유재호</v>
          </cell>
          <cell r="C244">
            <v>45588</v>
          </cell>
          <cell r="D244" t="str">
            <v>설화수 진설클렌징폼 150ml (25AD 외캡</v>
          </cell>
          <cell r="E244">
            <v>3.5</v>
          </cell>
          <cell r="F244">
            <v>20</v>
          </cell>
          <cell r="H244">
            <v>53.7</v>
          </cell>
          <cell r="M244" t="str">
            <v>로보트</v>
          </cell>
        </row>
        <row r="245">
          <cell r="A245" t="str">
            <v>SI1554_20241017-1</v>
          </cell>
          <cell r="B245" t="str">
            <v>유재호</v>
          </cell>
          <cell r="C245">
            <v>45588</v>
          </cell>
          <cell r="D245" t="str">
            <v>설화수 진설클렌징폼 견본 40ml (25AD 외캡</v>
          </cell>
          <cell r="E245">
            <v>3.3</v>
          </cell>
          <cell r="F245">
            <v>20</v>
          </cell>
          <cell r="H245">
            <v>51.45</v>
          </cell>
          <cell r="M245" t="str">
            <v>형계중 로보트취출</v>
          </cell>
        </row>
        <row r="246">
          <cell r="A246" t="str">
            <v>SI1554_20241017-2</v>
          </cell>
          <cell r="B246" t="str">
            <v>유재호</v>
          </cell>
          <cell r="C246">
            <v>45588</v>
          </cell>
          <cell r="D246" t="str">
            <v>설화수 진설클렌징폼 견본 40ml (25AD 외캡</v>
          </cell>
          <cell r="E246">
            <v>3.3</v>
          </cell>
          <cell r="F246">
            <v>20</v>
          </cell>
          <cell r="H246">
            <v>51.45</v>
          </cell>
          <cell r="M246" t="str">
            <v>형계중 로보트취출</v>
          </cell>
        </row>
        <row r="247">
          <cell r="A247" t="str">
            <v>SI1554_20241017</v>
          </cell>
          <cell r="B247" t="str">
            <v>유재호</v>
          </cell>
          <cell r="C247">
            <v>45588</v>
          </cell>
          <cell r="D247" t="str">
            <v>설화수 진설클렌징폼 견본 40ml (25AD 외캡</v>
          </cell>
          <cell r="E247">
            <v>3.3</v>
          </cell>
          <cell r="F247">
            <v>20</v>
          </cell>
          <cell r="H247">
            <v>51.45</v>
          </cell>
          <cell r="M247" t="str">
            <v>형계중 로보트취출</v>
          </cell>
        </row>
        <row r="248">
          <cell r="A248" t="str">
            <v>SI1537_20241017</v>
          </cell>
          <cell r="B248" t="str">
            <v>유재호</v>
          </cell>
          <cell r="C248">
            <v>45588</v>
          </cell>
          <cell r="D248" t="str">
            <v>설화수 진설클렌징폼 150ml (25AD 캡장식</v>
          </cell>
          <cell r="E248">
            <v>2.1</v>
          </cell>
          <cell r="F248">
            <v>14</v>
          </cell>
          <cell r="H248">
            <v>41.25</v>
          </cell>
          <cell r="M248" t="str">
            <v>로보트취출</v>
          </cell>
        </row>
        <row r="249">
          <cell r="A249" t="str">
            <v>SI1544_20241017</v>
          </cell>
          <cell r="B249" t="str">
            <v>유재호</v>
          </cell>
          <cell r="C249">
            <v>45594</v>
          </cell>
          <cell r="D249" t="str">
            <v>설화수 진설클렌징폼 견본 15ml (25AD 외캡</v>
          </cell>
          <cell r="E249">
            <v>4.3099999999999996</v>
          </cell>
          <cell r="F249">
            <v>14</v>
          </cell>
          <cell r="H249">
            <v>41.1</v>
          </cell>
          <cell r="M249" t="str">
            <v>고정측취출</v>
          </cell>
        </row>
        <row r="250">
          <cell r="A250" t="str">
            <v>SI1545_20241017</v>
          </cell>
          <cell r="B250" t="str">
            <v>유재호</v>
          </cell>
          <cell r="C250">
            <v>45594</v>
          </cell>
          <cell r="D250" t="str">
            <v>설화수 진설클렌징폼 견본 15ml (25AD 내캡</v>
          </cell>
          <cell r="E250">
            <v>4.0199999999999996</v>
          </cell>
          <cell r="F250">
            <v>14</v>
          </cell>
          <cell r="H250">
            <v>50.2</v>
          </cell>
          <cell r="M250" t="str">
            <v>에젝타 취출</v>
          </cell>
          <cell r="N250" t="str">
            <v>모타금형</v>
          </cell>
        </row>
        <row r="251">
          <cell r="A251" t="str">
            <v>SI1522_20241028</v>
          </cell>
          <cell r="B251" t="str">
            <v>유재호</v>
          </cell>
          <cell r="C251">
            <v>45594</v>
          </cell>
          <cell r="D251" t="str">
            <v>아이오페 슈퍼바이탈 크림 50ML(24EC 내캡</v>
          </cell>
          <cell r="E251">
            <v>3.55</v>
          </cell>
          <cell r="F251">
            <v>18</v>
          </cell>
          <cell r="H251">
            <v>53</v>
          </cell>
          <cell r="M251" t="str">
            <v>에젝타 취출</v>
          </cell>
          <cell r="N251" t="str">
            <v>2번 cavity 중복 각인, 3번 cavity없음</v>
          </cell>
        </row>
        <row r="252">
          <cell r="A252" t="str">
            <v>SI1518_20241028</v>
          </cell>
          <cell r="B252" t="str">
            <v>장세래</v>
          </cell>
          <cell r="C252">
            <v>45594</v>
          </cell>
          <cell r="D252" t="str">
            <v>아이오페 슈퍼바이탈 크림 50ML(24EC 외용기</v>
          </cell>
          <cell r="E252">
            <v>10.5</v>
          </cell>
          <cell r="F252">
            <v>30</v>
          </cell>
          <cell r="H252">
            <v>58.5</v>
          </cell>
          <cell r="M252" t="str">
            <v>로보트</v>
          </cell>
        </row>
        <row r="253">
          <cell r="A253" t="str">
            <v>SI1520_20241028</v>
          </cell>
          <cell r="B253" t="str">
            <v>장세래</v>
          </cell>
          <cell r="C253">
            <v>45594</v>
          </cell>
          <cell r="D253" t="str">
            <v>아이오페 슈퍼바이탈 크림 50ML(24EC 용기받침</v>
          </cell>
          <cell r="E253">
            <v>10</v>
          </cell>
          <cell r="F253">
            <v>18</v>
          </cell>
          <cell r="H253">
            <v>45.2</v>
          </cell>
          <cell r="M253" t="str">
            <v>로보트</v>
          </cell>
        </row>
        <row r="254">
          <cell r="A254" t="str">
            <v>SI1516_20241028</v>
          </cell>
          <cell r="B254" t="str">
            <v>장세래</v>
          </cell>
          <cell r="C254">
            <v>45594</v>
          </cell>
          <cell r="D254" t="str">
            <v>아이오페 슈퍼바이탈 크림 50ML(24EC 외캡</v>
          </cell>
          <cell r="E254">
            <v>7.05</v>
          </cell>
          <cell r="F254">
            <v>25</v>
          </cell>
          <cell r="H254">
            <v>52.75</v>
          </cell>
          <cell r="M254" t="str">
            <v>로보트</v>
          </cell>
        </row>
        <row r="255">
          <cell r="A255" t="str">
            <v>SI1542_20241029</v>
          </cell>
          <cell r="B255" t="str">
            <v>장세래</v>
          </cell>
          <cell r="C255">
            <v>45596</v>
          </cell>
          <cell r="D255" t="str">
            <v>아이오페 스템Ⅲ 클리니컬 리커버리 크림 50ML(25) 내캡 사출</v>
          </cell>
          <cell r="E255">
            <v>6.3</v>
          </cell>
          <cell r="F255">
            <v>18</v>
          </cell>
          <cell r="H255">
            <v>60</v>
          </cell>
          <cell r="M255" t="str">
            <v>로보트</v>
          </cell>
        </row>
        <row r="256">
          <cell r="A256" t="str">
            <v>SI1540_20241029</v>
          </cell>
          <cell r="B256" t="str">
            <v>장세래</v>
          </cell>
          <cell r="C256">
            <v>45596</v>
          </cell>
          <cell r="D256" t="str">
            <v>아이오페 스템Ⅲ 클리니컬 리커버리 크림 50ML(25) 캡장식 사출</v>
          </cell>
          <cell r="E256">
            <v>9.32</v>
          </cell>
          <cell r="F256">
            <v>20</v>
          </cell>
          <cell r="H256">
            <v>45.5</v>
          </cell>
          <cell r="M256" t="str">
            <v>로버트</v>
          </cell>
        </row>
        <row r="257">
          <cell r="A257" t="str">
            <v>SI1541_20241029</v>
          </cell>
          <cell r="B257" t="str">
            <v>장세래</v>
          </cell>
          <cell r="C257">
            <v>45597</v>
          </cell>
          <cell r="D257" t="str">
            <v>아이오페 스템Ⅲ 클리니컬 리커버리 크림 50ML(25) 외캡 사출</v>
          </cell>
          <cell r="F257">
            <v>35</v>
          </cell>
          <cell r="H257">
            <v>60.86</v>
          </cell>
          <cell r="M257" t="str">
            <v>로보트</v>
          </cell>
        </row>
        <row r="258">
          <cell r="A258" t="str">
            <v>SI1557_20241026</v>
          </cell>
          <cell r="B258" t="str">
            <v>유재호</v>
          </cell>
          <cell r="C258">
            <v>45597</v>
          </cell>
          <cell r="D258" t="str">
            <v>라보에이치 모발강화 트리트먼트 200ml 50파이 원터치캡</v>
          </cell>
          <cell r="E258">
            <v>3.33</v>
          </cell>
          <cell r="F258">
            <v>18</v>
          </cell>
          <cell r="H258">
            <v>54</v>
          </cell>
          <cell r="M258" t="str">
            <v>수동</v>
          </cell>
          <cell r="N258" t="str">
            <v>전체적으로 투터치 소리, 2번 똑딱이소리 안남</v>
          </cell>
        </row>
        <row r="259">
          <cell r="A259" t="str">
            <v>SI1559_20241026</v>
          </cell>
          <cell r="B259" t="str">
            <v>유재호</v>
          </cell>
          <cell r="C259">
            <v>45597</v>
          </cell>
          <cell r="D259" t="str">
            <v>라보에이치 모발강화 트리트먼트 300ml 60파이 원터치캡</v>
          </cell>
          <cell r="E259">
            <v>4.66</v>
          </cell>
          <cell r="F259">
            <v>18</v>
          </cell>
          <cell r="H259">
            <v>58</v>
          </cell>
          <cell r="M259" t="str">
            <v>수동</v>
          </cell>
          <cell r="N259" t="str">
            <v>3,4,6,7,8 여닫이소리 안남</v>
          </cell>
        </row>
        <row r="260">
          <cell r="A260" t="str">
            <v>SI1542_20241014</v>
          </cell>
          <cell r="B260" t="str">
            <v>장세래</v>
          </cell>
          <cell r="C260">
            <v>45584</v>
          </cell>
          <cell r="D260" t="str">
            <v>아이오페 스템Ⅲ 클리니컬 리커버리 크림 50ML(25) 내캡 사출</v>
          </cell>
          <cell r="E260">
            <v>5.8</v>
          </cell>
          <cell r="F260">
            <v>18</v>
          </cell>
          <cell r="H260">
            <v>59</v>
          </cell>
          <cell r="M260" t="str">
            <v>로보트</v>
          </cell>
        </row>
        <row r="261">
          <cell r="A261" t="str">
            <v>SI1560_20241026</v>
          </cell>
          <cell r="B261" t="str">
            <v>한창구</v>
          </cell>
          <cell r="C261">
            <v>45601</v>
          </cell>
          <cell r="D261" t="str">
            <v>라보에이치 모발강화 트리트먼트 300ml 60파이 장식</v>
          </cell>
          <cell r="E261">
            <v>5.22</v>
          </cell>
          <cell r="F261">
            <v>15</v>
          </cell>
          <cell r="M261" t="str">
            <v>수동</v>
          </cell>
          <cell r="N261" t="str">
            <v>형개거리가 짧아 로보트 취출 안됨</v>
          </cell>
          <cell r="O261" t="str">
            <v>링크거리 170mm 늘림요청(로보트 취출불가)</v>
          </cell>
        </row>
        <row r="262">
          <cell r="A262" t="str">
            <v>SI1558_20241026</v>
          </cell>
          <cell r="B262" t="str">
            <v>한창구</v>
          </cell>
          <cell r="C262">
            <v>45601</v>
          </cell>
          <cell r="D262" t="str">
            <v>라보에이치 모발강화 트리트먼트 200ml 50파이 장식</v>
          </cell>
          <cell r="E262">
            <v>5.07</v>
          </cell>
          <cell r="F262">
            <v>15</v>
          </cell>
          <cell r="M262" t="str">
            <v>수동</v>
          </cell>
          <cell r="N262" t="str">
            <v>형개거리가 짧아 로보트 취출 안됨</v>
          </cell>
        </row>
        <row r="263">
          <cell r="A263" t="str">
            <v>SI1553_20241101</v>
          </cell>
          <cell r="B263" t="str">
            <v>한창구</v>
          </cell>
          <cell r="C263">
            <v>45602</v>
          </cell>
          <cell r="D263" t="str">
            <v>설화수 진설클렌징폼 견본 40ml (25AD 내캡</v>
          </cell>
          <cell r="E263">
            <v>1.65</v>
          </cell>
          <cell r="F263">
            <v>14</v>
          </cell>
          <cell r="G263" t="str">
            <v>전2.5 후2.0</v>
          </cell>
          <cell r="H263">
            <v>48.7</v>
          </cell>
          <cell r="M263" t="str">
            <v>로보트</v>
          </cell>
        </row>
        <row r="264">
          <cell r="A264" t="str">
            <v>SI1554_20241031</v>
          </cell>
          <cell r="B264" t="str">
            <v>한창구</v>
          </cell>
          <cell r="C264">
            <v>45602</v>
          </cell>
          <cell r="D264" t="str">
            <v>설화수 진설클렌징폼 견본 40ml (25AD 외캡</v>
          </cell>
          <cell r="E264">
            <v>2.85</v>
          </cell>
          <cell r="F264">
            <v>25</v>
          </cell>
          <cell r="H264">
            <v>56.9</v>
          </cell>
          <cell r="M264" t="str">
            <v>로보트</v>
          </cell>
        </row>
        <row r="265">
          <cell r="A265" t="str">
            <v>SI1519_20241108</v>
          </cell>
          <cell r="B265" t="str">
            <v>유재호</v>
          </cell>
          <cell r="C265">
            <v>45607</v>
          </cell>
          <cell r="D265" t="str">
            <v>아이오페 슈퍼바이탈 크림 50ML(24EC 내용기</v>
          </cell>
          <cell r="E265">
            <v>7.5</v>
          </cell>
          <cell r="F265">
            <v>18</v>
          </cell>
          <cell r="M265" t="str">
            <v>에젝타</v>
          </cell>
        </row>
        <row r="266">
          <cell r="A266" t="str">
            <v>SI1537_20241109</v>
          </cell>
          <cell r="B266" t="str">
            <v>유재호</v>
          </cell>
          <cell r="C266">
            <v>45608</v>
          </cell>
          <cell r="D266" t="str">
            <v>설화수 진설클렌징폼 150ml (25AD 캡장식</v>
          </cell>
          <cell r="E266">
            <v>2.8</v>
          </cell>
          <cell r="F266">
            <v>16</v>
          </cell>
          <cell r="H266">
            <v>48</v>
          </cell>
          <cell r="M266" t="str">
            <v>에젝타</v>
          </cell>
        </row>
        <row r="267">
          <cell r="A267" t="str">
            <v>SI1542_20241112</v>
          </cell>
          <cell r="B267" t="str">
            <v>유재호</v>
          </cell>
          <cell r="C267">
            <v>45609</v>
          </cell>
          <cell r="D267" t="str">
            <v>아이오페 스템Ⅲ 클리니컬 리커버리 크림 50ML(25) 내캡 사출</v>
          </cell>
          <cell r="E267">
            <v>7</v>
          </cell>
          <cell r="F267">
            <v>18</v>
          </cell>
          <cell r="H267">
            <v>61</v>
          </cell>
        </row>
        <row r="268">
          <cell r="A268" t="str">
            <v>SI1540_20241112</v>
          </cell>
          <cell r="B268" t="str">
            <v>유재호</v>
          </cell>
          <cell r="C268">
            <v>45609</v>
          </cell>
          <cell r="D268" t="str">
            <v>아이오페 스템Ⅲ 클리니컬 리커버리 크림 50ML(25) 캡장식 사출</v>
          </cell>
          <cell r="E268">
            <v>4.07</v>
          </cell>
          <cell r="F268">
            <v>20</v>
          </cell>
          <cell r="H268">
            <v>50</v>
          </cell>
          <cell r="N268" t="str">
            <v>언더컷 치수는 도면보다 크게 나옴</v>
          </cell>
        </row>
        <row r="269">
          <cell r="A269" t="str">
            <v>SI1554_20241112</v>
          </cell>
          <cell r="B269" t="str">
            <v>유재호</v>
          </cell>
          <cell r="C269">
            <v>45615</v>
          </cell>
          <cell r="D269" t="str">
            <v>설화수 진설클렌징폼 견본 40ml (25AD 외캡</v>
          </cell>
          <cell r="E269">
            <v>4.5</v>
          </cell>
          <cell r="F269">
            <v>18</v>
          </cell>
          <cell r="M269" t="str">
            <v>형계형 하강</v>
          </cell>
        </row>
        <row r="270">
          <cell r="A270" t="str">
            <v>SI1553_20241112</v>
          </cell>
          <cell r="B270" t="str">
            <v>유재호</v>
          </cell>
          <cell r="C270">
            <v>45615</v>
          </cell>
          <cell r="D270" t="str">
            <v>설화수 진설클렌징폼 견본 40ml (25AD 내캡</v>
          </cell>
          <cell r="E270">
            <v>5.5</v>
          </cell>
          <cell r="F270">
            <v>15</v>
          </cell>
          <cell r="H270">
            <v>46</v>
          </cell>
          <cell r="M270" t="str">
            <v>에젝타취출</v>
          </cell>
        </row>
        <row r="271">
          <cell r="A271" t="str">
            <v>SI1539_20241108</v>
          </cell>
          <cell r="B271" t="str">
            <v>유재호</v>
          </cell>
          <cell r="C271">
            <v>45616</v>
          </cell>
          <cell r="D271" t="str">
            <v>설화수 진설클렌징폼 150ml (25AD 내캡</v>
          </cell>
          <cell r="E271">
            <v>6.5</v>
          </cell>
          <cell r="F271">
            <v>16</v>
          </cell>
          <cell r="H271">
            <v>46</v>
          </cell>
          <cell r="M271" t="str">
            <v>에젝타취출</v>
          </cell>
        </row>
        <row r="272">
          <cell r="A272" t="str">
            <v>SI1544_20241118</v>
          </cell>
          <cell r="B272" t="str">
            <v>유재호</v>
          </cell>
          <cell r="C272">
            <v>45616</v>
          </cell>
          <cell r="D272" t="str">
            <v>설화수 진설클렌징폼 견본 15ml (25AD 외캡</v>
          </cell>
          <cell r="E272">
            <v>5.5</v>
          </cell>
          <cell r="F272">
            <v>15</v>
          </cell>
          <cell r="M272" t="str">
            <v>형계형 하강</v>
          </cell>
        </row>
        <row r="273">
          <cell r="A273" t="str">
            <v>SI1545_20241118</v>
          </cell>
          <cell r="B273" t="str">
            <v>유재호</v>
          </cell>
          <cell r="C273">
            <v>45616</v>
          </cell>
          <cell r="D273" t="str">
            <v>설화수 진설클렌징폼 견본 15ml (25AD 내캡</v>
          </cell>
          <cell r="E273">
            <v>3.5</v>
          </cell>
          <cell r="F273">
            <v>14</v>
          </cell>
          <cell r="H273">
            <v>45</v>
          </cell>
          <cell r="M273" t="str">
            <v>에젝타취출</v>
          </cell>
        </row>
        <row r="274">
          <cell r="A274" t="str">
            <v>SI1557_20241115</v>
          </cell>
          <cell r="B274" t="str">
            <v>유재호</v>
          </cell>
          <cell r="C274">
            <v>45618</v>
          </cell>
          <cell r="D274" t="str">
            <v>라보에이치 모발강화 트리트먼트 200ml 50파이 원터치캡</v>
          </cell>
          <cell r="E274">
            <v>3.33</v>
          </cell>
          <cell r="F274">
            <v>18</v>
          </cell>
          <cell r="M274" t="str">
            <v>수동</v>
          </cell>
          <cell r="N274" t="str">
            <v>5번판 6번판 형개시 소리 심하게 남</v>
          </cell>
        </row>
        <row r="275">
          <cell r="A275" t="str">
            <v>SI1559_20241115</v>
          </cell>
          <cell r="B275" t="str">
            <v>유재호</v>
          </cell>
          <cell r="C275">
            <v>45618</v>
          </cell>
          <cell r="D275" t="str">
            <v>라보에이치 모발강화 트리트먼트 300ml 60파이 원터치캡</v>
          </cell>
          <cell r="E275">
            <v>3.93</v>
          </cell>
          <cell r="F275">
            <v>20</v>
          </cell>
          <cell r="M275" t="str">
            <v>수동</v>
          </cell>
          <cell r="N275" t="str">
            <v>5번판 6번판 형개시 소리 심하게 남</v>
          </cell>
        </row>
        <row r="276">
          <cell r="A276" t="str">
            <v>SI1519_20241122</v>
          </cell>
          <cell r="B276" t="str">
            <v>장세래</v>
          </cell>
          <cell r="C276">
            <v>45621</v>
          </cell>
          <cell r="D276" t="str">
            <v>아이오페 슈퍼바이탈 크림 50ML(24EC 내용기</v>
          </cell>
          <cell r="F276">
            <v>20</v>
          </cell>
          <cell r="M276" t="str">
            <v>로보트</v>
          </cell>
        </row>
        <row r="277">
          <cell r="A277" t="str">
            <v>SI1554_20241120</v>
          </cell>
          <cell r="B277" t="str">
            <v>한창구</v>
          </cell>
          <cell r="C277">
            <v>45622</v>
          </cell>
          <cell r="D277" t="str">
            <v>설화수 진설클렌징폼 견본 40ml (25AD 외캡</v>
          </cell>
          <cell r="E277">
            <v>5.3</v>
          </cell>
          <cell r="F277">
            <v>20</v>
          </cell>
          <cell r="H277">
            <v>41.03</v>
          </cell>
          <cell r="M277" t="str">
            <v>로보트</v>
          </cell>
        </row>
        <row r="278">
          <cell r="A278" t="str">
            <v>SI1554_20241127</v>
          </cell>
          <cell r="B278" t="str">
            <v>장세래</v>
          </cell>
          <cell r="C278">
            <v>45624</v>
          </cell>
          <cell r="D278" t="str">
            <v>설화수 진설클렌징폼 견본 40ml (25AD 외캡</v>
          </cell>
          <cell r="E278">
            <v>5.5</v>
          </cell>
          <cell r="F278">
            <v>25</v>
          </cell>
          <cell r="H278">
            <v>43.9</v>
          </cell>
          <cell r="M278" t="str">
            <v>로보트</v>
          </cell>
          <cell r="N278" t="str">
            <v>온수기 온도 올라가면 상측 제품 박힘</v>
          </cell>
        </row>
        <row r="279">
          <cell r="A279" t="str">
            <v>SI1558_20241115</v>
          </cell>
          <cell r="B279" t="str">
            <v>장세래</v>
          </cell>
          <cell r="C279">
            <v>45624</v>
          </cell>
          <cell r="D279" t="str">
            <v>라보에이치 모발강화 트리트먼트 200ml 50파이 장식</v>
          </cell>
          <cell r="E279">
            <v>4</v>
          </cell>
          <cell r="F279">
            <v>15</v>
          </cell>
          <cell r="H279">
            <v>35</v>
          </cell>
          <cell r="M279" t="str">
            <v>로보트</v>
          </cell>
        </row>
        <row r="280">
          <cell r="A280" t="str">
            <v>SI1537_20241120</v>
          </cell>
          <cell r="B280" t="str">
            <v>유재호</v>
          </cell>
          <cell r="C280">
            <v>45630</v>
          </cell>
          <cell r="D280" t="str">
            <v>설화수 진설클렌징폼 150ml (25AD 캡장식</v>
          </cell>
          <cell r="E280">
            <v>6.46</v>
          </cell>
          <cell r="F280">
            <v>16</v>
          </cell>
          <cell r="H280">
            <v>35.299999999999997</v>
          </cell>
          <cell r="M280" t="str">
            <v>로보트</v>
          </cell>
        </row>
        <row r="281">
          <cell r="A281" t="str">
            <v>SI1538_20241120</v>
          </cell>
          <cell r="B281" t="str">
            <v>유재호</v>
          </cell>
          <cell r="C281">
            <v>45630</v>
          </cell>
          <cell r="D281" t="str">
            <v>설화수 진설클렌징폼 150ml (25AD 외캡</v>
          </cell>
          <cell r="E281">
            <v>3</v>
          </cell>
          <cell r="F281">
            <v>23</v>
          </cell>
          <cell r="H281">
            <v>53</v>
          </cell>
          <cell r="M281" t="str">
            <v>로보트</v>
          </cell>
          <cell r="N281" t="str">
            <v>사출물 색상 편차 발생</v>
          </cell>
        </row>
        <row r="282">
          <cell r="A282" t="str">
            <v>SI1539_20241120</v>
          </cell>
          <cell r="B282" t="str">
            <v>유재호</v>
          </cell>
          <cell r="C282">
            <v>45630</v>
          </cell>
          <cell r="D282" t="str">
            <v>설화수 진설클렌징폼 150ml (25AD 내캡</v>
          </cell>
          <cell r="E282">
            <v>5</v>
          </cell>
          <cell r="F282">
            <v>18</v>
          </cell>
          <cell r="H282">
            <v>50</v>
          </cell>
          <cell r="M282" t="str">
            <v>로보트</v>
          </cell>
        </row>
        <row r="283">
          <cell r="A283" t="str">
            <v>SI1541_20241205</v>
          </cell>
          <cell r="B283" t="str">
            <v>장세래</v>
          </cell>
          <cell r="C283">
            <v>45635</v>
          </cell>
          <cell r="D283" t="str">
            <v>아이오페 스템Ⅲ 클리니컬 리커버리 크림 50ML(25) 외캡 사출</v>
          </cell>
          <cell r="E283">
            <v>8.1999999999999993</v>
          </cell>
          <cell r="F283">
            <v>40</v>
          </cell>
          <cell r="H283">
            <v>66</v>
          </cell>
          <cell r="M283" t="str">
            <v>로보트</v>
          </cell>
          <cell r="N283" t="str">
            <v>웰드 불량을 잡기위해 압력이 높아 규격이 커짐</v>
          </cell>
        </row>
        <row r="284">
          <cell r="A284" t="str">
            <v>SI1540_20241205</v>
          </cell>
          <cell r="B284" t="str">
            <v>장세래</v>
          </cell>
          <cell r="C284">
            <v>45635</v>
          </cell>
          <cell r="D284" t="str">
            <v>아이오페 스템Ⅲ 클리니컬 리커버리 크림 50ML(25) 캡장식 사출</v>
          </cell>
          <cell r="E284">
            <v>10.6</v>
          </cell>
          <cell r="F284">
            <v>30</v>
          </cell>
          <cell r="H284">
            <v>69</v>
          </cell>
          <cell r="M284" t="str">
            <v>로보트</v>
          </cell>
        </row>
        <row r="285">
          <cell r="A285" t="str">
            <v>SI1542_20241205</v>
          </cell>
          <cell r="B285" t="str">
            <v>유재호</v>
          </cell>
          <cell r="C285">
            <v>45637</v>
          </cell>
          <cell r="D285" t="str">
            <v>아이오페 스템Ⅲ 클리니컬 리커버리 크림 50ML(25) 내캡 사출</v>
          </cell>
          <cell r="E285">
            <v>6.5</v>
          </cell>
          <cell r="F285">
            <v>18</v>
          </cell>
          <cell r="M285" t="str">
            <v>에젝타취출</v>
          </cell>
        </row>
        <row r="286">
          <cell r="A286" t="str">
            <v>SI1540_20241211</v>
          </cell>
          <cell r="B286" t="str">
            <v>장세래</v>
          </cell>
          <cell r="C286">
            <v>45637</v>
          </cell>
          <cell r="D286" t="str">
            <v>아이오페 스템Ⅲ 클리니컬 리커버리 크림 50ML(25) 캡장식 사출</v>
          </cell>
          <cell r="E286">
            <v>5.4</v>
          </cell>
          <cell r="F286">
            <v>25</v>
          </cell>
          <cell r="H286">
            <v>52</v>
          </cell>
          <cell r="M286" t="str">
            <v>로보트</v>
          </cell>
          <cell r="N286" t="str">
            <v>런너 취출 어려움 -집게자리(런너회전방지핀) 수정요청</v>
          </cell>
        </row>
        <row r="287">
          <cell r="A287" t="str">
            <v>SI1540_20241216</v>
          </cell>
          <cell r="B287" t="str">
            <v>장세래</v>
          </cell>
          <cell r="C287">
            <v>45642</v>
          </cell>
          <cell r="D287" t="str">
            <v>아이오페 스템Ⅲ 클리니컬 리커버리 크림 50ML(25) 캡장식 사출</v>
          </cell>
          <cell r="E287">
            <v>6.68</v>
          </cell>
          <cell r="F287">
            <v>20</v>
          </cell>
          <cell r="H287">
            <v>51</v>
          </cell>
          <cell r="M287" t="str">
            <v>로보트</v>
          </cell>
          <cell r="N287" t="str">
            <v>취출 진연 10초</v>
          </cell>
        </row>
        <row r="288">
          <cell r="A288" t="str">
            <v>SI1537_20241211</v>
          </cell>
          <cell r="B288" t="str">
            <v>장세래</v>
          </cell>
          <cell r="C288">
            <v>45642</v>
          </cell>
          <cell r="D288" t="str">
            <v>설화수 진설클렌징폼 150ml (25AD 캡장식</v>
          </cell>
          <cell r="E288">
            <v>6.45</v>
          </cell>
          <cell r="F288">
            <v>16</v>
          </cell>
          <cell r="H288">
            <v>36.51</v>
          </cell>
          <cell r="M288" t="str">
            <v>로보트</v>
          </cell>
        </row>
        <row r="289">
          <cell r="A289" t="str">
            <v>SI1519_20241215</v>
          </cell>
          <cell r="B289" t="str">
            <v>한창구</v>
          </cell>
          <cell r="C289">
            <v>45643</v>
          </cell>
          <cell r="D289" t="str">
            <v>아이오페 슈퍼바이탈 크림 50ML(24EC 내용기</v>
          </cell>
          <cell r="E289">
            <v>4.2699999999999996</v>
          </cell>
          <cell r="F289">
            <v>18</v>
          </cell>
          <cell r="H289">
            <v>47.4</v>
          </cell>
          <cell r="M289" t="str">
            <v>로보트</v>
          </cell>
        </row>
        <row r="290">
          <cell r="A290" t="str">
            <v>SI1586_20241218</v>
          </cell>
          <cell r="B290" t="str">
            <v>장세래</v>
          </cell>
          <cell r="C290">
            <v>45644</v>
          </cell>
          <cell r="D290" t="str">
            <v>아이오페 슈퍼바이탈 크림 50ML(24EC 외용기</v>
          </cell>
          <cell r="E290">
            <v>4.8</v>
          </cell>
          <cell r="F290">
            <v>18</v>
          </cell>
          <cell r="H290">
            <v>48</v>
          </cell>
          <cell r="M290" t="str">
            <v>로보트</v>
          </cell>
        </row>
        <row r="291">
          <cell r="A291" t="str">
            <v>SI1586_20241219</v>
          </cell>
          <cell r="B291" t="str">
            <v>장세래</v>
          </cell>
          <cell r="C291">
            <v>45644</v>
          </cell>
          <cell r="D291" t="str">
            <v>아이오페 슈퍼바이탈 크림 50ML(24EC 외용기</v>
          </cell>
          <cell r="E291">
            <v>4.8</v>
          </cell>
          <cell r="F291">
            <v>18</v>
          </cell>
          <cell r="H291">
            <v>48</v>
          </cell>
          <cell r="M291" t="str">
            <v>로보트</v>
          </cell>
        </row>
        <row r="292">
          <cell r="A292" t="str">
            <v>SI1589_20241218</v>
          </cell>
          <cell r="B292" t="str">
            <v>한창구</v>
          </cell>
          <cell r="C292">
            <v>45645</v>
          </cell>
          <cell r="D292" t="str">
            <v>아이오페 슈퍼바이탈 크림 50ML(24EC 외캡</v>
          </cell>
          <cell r="E292">
            <v>6.62</v>
          </cell>
          <cell r="F292">
            <v>26</v>
          </cell>
          <cell r="H292">
            <v>55.3</v>
          </cell>
          <cell r="M292" t="str">
            <v>로보트</v>
          </cell>
        </row>
        <row r="293">
          <cell r="A293" t="str">
            <v>SI1589_20241219</v>
          </cell>
          <cell r="B293" t="str">
            <v>한창구</v>
          </cell>
          <cell r="C293">
            <v>45645</v>
          </cell>
          <cell r="D293" t="str">
            <v>아이오페 슈퍼바이탈 크림 50ML(24EC 외캡</v>
          </cell>
          <cell r="E293">
            <v>6.65</v>
          </cell>
          <cell r="F293">
            <v>26</v>
          </cell>
          <cell r="H293">
            <v>53.4</v>
          </cell>
          <cell r="M293" t="str">
            <v>로보트</v>
          </cell>
        </row>
        <row r="294">
          <cell r="A294" t="str">
            <v>SI1587_20241218</v>
          </cell>
          <cell r="B294" t="str">
            <v>민병태</v>
          </cell>
          <cell r="C294">
            <v>45645</v>
          </cell>
          <cell r="D294" t="str">
            <v>아이오페 슈퍼바이탈 크림 50ML(24EC 용기받침</v>
          </cell>
          <cell r="E294">
            <v>7.4</v>
          </cell>
          <cell r="F294">
            <v>20</v>
          </cell>
          <cell r="H294">
            <v>49.15</v>
          </cell>
          <cell r="M294" t="str">
            <v>로보트</v>
          </cell>
        </row>
        <row r="295">
          <cell r="A295" t="str">
            <v>SI1587_20241219</v>
          </cell>
          <cell r="B295" t="str">
            <v>민병태</v>
          </cell>
          <cell r="C295">
            <v>45645</v>
          </cell>
          <cell r="D295" t="str">
            <v>아이오페 슈퍼바이탈 크림 50ML(24EC 용기받침</v>
          </cell>
          <cell r="E295">
            <v>5.24</v>
          </cell>
          <cell r="F295">
            <v>20</v>
          </cell>
          <cell r="H295">
            <v>46.94</v>
          </cell>
          <cell r="M295" t="str">
            <v>로보트</v>
          </cell>
        </row>
        <row r="296">
          <cell r="A296" t="str">
            <v>SI1588_20241218</v>
          </cell>
          <cell r="B296" t="str">
            <v>남기갑</v>
          </cell>
          <cell r="C296">
            <v>45646</v>
          </cell>
          <cell r="D296" t="str">
            <v>아이오페 슈퍼바이탈 크림 50ML(24EC 캡장식</v>
          </cell>
          <cell r="E296">
            <v>6.08</v>
          </cell>
          <cell r="F296">
            <v>18</v>
          </cell>
          <cell r="H296">
            <v>46.1</v>
          </cell>
          <cell r="M296" t="str">
            <v>로보트</v>
          </cell>
        </row>
        <row r="297">
          <cell r="A297" t="str">
            <v>SI1588_20241219</v>
          </cell>
          <cell r="B297" t="str">
            <v>남기갑</v>
          </cell>
          <cell r="C297">
            <v>45646</v>
          </cell>
          <cell r="D297" t="str">
            <v>아이오페 슈퍼바이탈 크림 50ML(24EC 캡장식</v>
          </cell>
          <cell r="E297">
            <v>6.14</v>
          </cell>
          <cell r="F297">
            <v>18</v>
          </cell>
          <cell r="H297">
            <v>46.7</v>
          </cell>
          <cell r="M297" t="str">
            <v>로보트</v>
          </cell>
        </row>
        <row r="298">
          <cell r="A298" t="str">
            <v>SI1557_20241218</v>
          </cell>
          <cell r="B298" t="str">
            <v>유재호</v>
          </cell>
          <cell r="C298">
            <v>45649</v>
          </cell>
          <cell r="D298" t="str">
            <v>라보에이치 모발강화 트리트먼트 200ml 50파이 원터치캡</v>
          </cell>
          <cell r="E298">
            <v>2.73</v>
          </cell>
          <cell r="F298">
            <v>20</v>
          </cell>
        </row>
        <row r="299">
          <cell r="A299" t="str">
            <v>SI1541_20241222</v>
          </cell>
          <cell r="B299" t="str">
            <v>한창구</v>
          </cell>
          <cell r="C299">
            <v>45650</v>
          </cell>
          <cell r="D299" t="str">
            <v>아이오페 스템Ⅲ 클리니컬 리커버리 크림 50ML(25) 외캡 사출</v>
          </cell>
          <cell r="E299">
            <v>6.89</v>
          </cell>
          <cell r="F299">
            <v>33</v>
          </cell>
          <cell r="H299">
            <v>59.58</v>
          </cell>
          <cell r="M299" t="str">
            <v>로보트</v>
          </cell>
          <cell r="N299" t="str">
            <v>하측 긁힘 발생(코어확인요망), 제품 취출시 긁힘발생</v>
          </cell>
        </row>
        <row r="300">
          <cell r="A300" t="str">
            <v>SI1560_20241218</v>
          </cell>
          <cell r="B300" t="str">
            <v>유재호</v>
          </cell>
          <cell r="C300">
            <v>45651</v>
          </cell>
          <cell r="D300" t="str">
            <v>라보에이치 모발강화 트리트먼트 300ml 60파이 장식</v>
          </cell>
          <cell r="E300">
            <v>2.85</v>
          </cell>
          <cell r="F300">
            <v>14</v>
          </cell>
          <cell r="H300">
            <v>28</v>
          </cell>
          <cell r="M300" t="str">
            <v>로보트</v>
          </cell>
        </row>
        <row r="301">
          <cell r="A301" t="str">
            <v>SI1558_20241218</v>
          </cell>
          <cell r="B301" t="str">
            <v>유재호</v>
          </cell>
          <cell r="C301">
            <v>45651</v>
          </cell>
          <cell r="D301" t="str">
            <v>라보에이치 모발강화 트리트먼트 200ml 50파이 장식</v>
          </cell>
          <cell r="E301">
            <v>2.4700000000000002</v>
          </cell>
          <cell r="F301">
            <v>15</v>
          </cell>
          <cell r="H301">
            <v>26</v>
          </cell>
          <cell r="M301" t="str">
            <v>로보트</v>
          </cell>
        </row>
        <row r="302">
          <cell r="A302" t="str">
            <v>SI1542_20241225</v>
          </cell>
          <cell r="B302" t="str">
            <v>한창구</v>
          </cell>
          <cell r="C302">
            <v>45651</v>
          </cell>
          <cell r="D302" t="str">
            <v>아이오페 스템Ⅲ 클리니컬 리커버리 크림 50ML(25) 내캡 사출</v>
          </cell>
          <cell r="E302">
            <v>4.45</v>
          </cell>
          <cell r="F302">
            <v>20</v>
          </cell>
          <cell r="H302">
            <v>65.599999999999994</v>
          </cell>
          <cell r="M302" t="str">
            <v>로보트</v>
          </cell>
        </row>
        <row r="303">
          <cell r="A303" t="str">
            <v>SI1519_20250102</v>
          </cell>
          <cell r="B303" t="str">
            <v>장세래</v>
          </cell>
          <cell r="C303">
            <v>45660</v>
          </cell>
          <cell r="D303" t="str">
            <v>아이오페 슈퍼바이탈 크림 50ML(24EC 내용기</v>
          </cell>
          <cell r="E303">
            <v>4.2300000000000004</v>
          </cell>
          <cell r="F303">
            <v>18</v>
          </cell>
          <cell r="M303" t="str">
            <v>로보트</v>
          </cell>
        </row>
        <row r="304">
          <cell r="A304" t="str">
            <v>SI1560_20250106</v>
          </cell>
          <cell r="B304" t="str">
            <v>한창구</v>
          </cell>
          <cell r="C304">
            <v>45663</v>
          </cell>
          <cell r="D304" t="str">
            <v>라보에이치 모발강화 트리트먼트 300ml 60파이 장식</v>
          </cell>
          <cell r="E304">
            <v>5.16</v>
          </cell>
          <cell r="F304">
            <v>16</v>
          </cell>
          <cell r="H304">
            <v>35.9</v>
          </cell>
          <cell r="M304" t="str">
            <v>로보트</v>
          </cell>
        </row>
        <row r="305">
          <cell r="A305" t="str">
            <v>SI1541_20250106</v>
          </cell>
          <cell r="B305" t="str">
            <v>장세래</v>
          </cell>
          <cell r="C305">
            <v>45664</v>
          </cell>
          <cell r="D305" t="str">
            <v>아이오페 스템Ⅲ 클리니컬 리커버리 크림 50ML(25) 외캡 사출</v>
          </cell>
          <cell r="E305">
            <v>7.12</v>
          </cell>
          <cell r="F305">
            <v>33</v>
          </cell>
          <cell r="H305">
            <v>60</v>
          </cell>
          <cell r="M305" t="str">
            <v>로보트</v>
          </cell>
        </row>
        <row r="306">
          <cell r="A306" t="str">
            <v>SI1540_20250106</v>
          </cell>
          <cell r="B306" t="str">
            <v>장세래</v>
          </cell>
          <cell r="C306">
            <v>45664</v>
          </cell>
          <cell r="D306" t="str">
            <v>아이오페 스템Ⅲ 클리니컬 리커버리 크림 50ML(25) 캡장식 사출</v>
          </cell>
          <cell r="E306">
            <v>3.8</v>
          </cell>
          <cell r="F306">
            <v>20</v>
          </cell>
          <cell r="H306">
            <v>51.65</v>
          </cell>
          <cell r="M306" t="str">
            <v>로보트</v>
          </cell>
        </row>
        <row r="307">
          <cell r="A307" t="str">
            <v>SI1569_20250110</v>
          </cell>
          <cell r="B307" t="str">
            <v>장세래</v>
          </cell>
          <cell r="C307">
            <v>45666</v>
          </cell>
          <cell r="D307" t="str">
            <v>(수출)라네즈 유스콜라겐드링크 25ml*30EA 패키지변경 25AD 캡</v>
          </cell>
          <cell r="E307">
            <v>4.1900000000000004</v>
          </cell>
          <cell r="F307">
            <v>10</v>
          </cell>
          <cell r="H307">
            <v>30</v>
          </cell>
          <cell r="M307" t="str">
            <v>로보트</v>
          </cell>
        </row>
        <row r="308">
          <cell r="A308" t="str">
            <v>SI1543_20250115</v>
          </cell>
          <cell r="B308" t="str">
            <v>한창구</v>
          </cell>
          <cell r="C308">
            <v>45673</v>
          </cell>
          <cell r="D308" t="str">
            <v>아이오페 스템Ⅲ 클리니컬 리커버리 크림 50ML(25) 내용기</v>
          </cell>
          <cell r="E308">
            <v>4.5999999999999996</v>
          </cell>
          <cell r="F308">
            <v>18</v>
          </cell>
          <cell r="H308">
            <v>44.3</v>
          </cell>
          <cell r="M308" t="str">
            <v>로보트</v>
          </cell>
        </row>
        <row r="309">
          <cell r="A309" t="str">
            <v>SI1582_20250116</v>
          </cell>
          <cell r="B309" t="str">
            <v>한창구</v>
          </cell>
          <cell r="C309">
            <v>45674</v>
          </cell>
          <cell r="D309" t="str">
            <v>미장센 헬로 젤리 팡팡 상용기(글로우쿠션 금형)</v>
          </cell>
          <cell r="E309">
            <v>2.673</v>
          </cell>
          <cell r="F309">
            <v>20</v>
          </cell>
          <cell r="H309">
            <v>40.1</v>
          </cell>
          <cell r="M309" t="str">
            <v>로보트</v>
          </cell>
        </row>
        <row r="310">
          <cell r="A310" t="str">
            <v>SI1583_20250116</v>
          </cell>
          <cell r="B310" t="str">
            <v>한창구</v>
          </cell>
          <cell r="C310">
            <v>45674</v>
          </cell>
          <cell r="D310" t="str">
            <v>미장센 헬로 젤리 팡팡 하용기</v>
          </cell>
          <cell r="E310">
            <v>3.48</v>
          </cell>
          <cell r="F310">
            <v>20</v>
          </cell>
          <cell r="H310">
            <v>40.6</v>
          </cell>
          <cell r="M310" t="str">
            <v>로보트</v>
          </cell>
        </row>
      </sheetData>
      <sheetData sheetId="10">
        <row r="1">
          <cell r="A1" t="str">
            <v>의뢰코드</v>
          </cell>
          <cell r="B1" t="str">
            <v>측정자</v>
          </cell>
          <cell r="C1" t="str">
            <v>실험일자</v>
          </cell>
          <cell r="D1" t="str">
            <v>제품명</v>
          </cell>
          <cell r="E1" t="str">
            <v>A_측정부위</v>
          </cell>
          <cell r="F1" t="str">
            <v>A_즉시사출_1</v>
          </cell>
          <cell r="G1" t="str">
            <v>A_즉시사출_2</v>
          </cell>
          <cell r="H1" t="str">
            <v>A_즉시사출_3</v>
          </cell>
          <cell r="I1" t="str">
            <v>A_즉시사출_4</v>
          </cell>
          <cell r="J1" t="str">
            <v>A_즉시사출_5</v>
          </cell>
          <cell r="K1" t="str">
            <v>A_즉시사출_6</v>
          </cell>
          <cell r="L1" t="str">
            <v>A_즉시사출_7</v>
          </cell>
          <cell r="M1" t="str">
            <v>A_즉시사출_8</v>
          </cell>
          <cell r="N1" t="str">
            <v>A_24H후_1</v>
          </cell>
          <cell r="O1" t="str">
            <v>A_24H후_2</v>
          </cell>
          <cell r="P1" t="str">
            <v>A_24H후_3</v>
          </cell>
          <cell r="Q1" t="str">
            <v>A_24H후_4</v>
          </cell>
          <cell r="R1" t="str">
            <v>A_24H후_5</v>
          </cell>
          <cell r="S1" t="str">
            <v>A_24H후_6</v>
          </cell>
          <cell r="T1" t="str">
            <v>A_24H후_7</v>
          </cell>
          <cell r="U1" t="str">
            <v>A_24H후_8</v>
          </cell>
          <cell r="V1" t="str">
            <v>B_측정부위</v>
          </cell>
          <cell r="W1" t="str">
            <v>B_즉시사출_1</v>
          </cell>
          <cell r="X1" t="str">
            <v>B_즉시사출_2</v>
          </cell>
          <cell r="Y1" t="str">
            <v>B_즉시사출_3</v>
          </cell>
          <cell r="Z1" t="str">
            <v>B_즉시사출_4</v>
          </cell>
          <cell r="AA1" t="str">
            <v>B_즉시사출_5</v>
          </cell>
          <cell r="AB1" t="str">
            <v>B_즉시사출_6</v>
          </cell>
          <cell r="AC1" t="str">
            <v>B_즉시사출_7</v>
          </cell>
          <cell r="AD1" t="str">
            <v>B_즉시사출_8</v>
          </cell>
          <cell r="AE1" t="str">
            <v>B_24H후_1</v>
          </cell>
          <cell r="AF1" t="str">
            <v>B_24H후_2</v>
          </cell>
          <cell r="AG1" t="str">
            <v>B_24H후_3</v>
          </cell>
          <cell r="AH1" t="str">
            <v>B_24H후_4</v>
          </cell>
          <cell r="AI1" t="str">
            <v>B_24H후_5</v>
          </cell>
          <cell r="AJ1" t="str">
            <v>B_24H후_6</v>
          </cell>
          <cell r="AK1" t="str">
            <v>B_24H후_7</v>
          </cell>
          <cell r="AL1" t="str">
            <v>B_24H후_8</v>
          </cell>
          <cell r="AM1" t="str">
            <v>C_측정부위</v>
          </cell>
          <cell r="AN1" t="str">
            <v>C_즉시사출_1</v>
          </cell>
          <cell r="AO1" t="str">
            <v>C_즉시사출_2</v>
          </cell>
          <cell r="AP1" t="str">
            <v>C_즉시사출_3</v>
          </cell>
          <cell r="AQ1" t="str">
            <v>C_즉시사출_4</v>
          </cell>
          <cell r="AR1" t="str">
            <v>C_즉시사출_5</v>
          </cell>
          <cell r="AS1" t="str">
            <v>C_즉시사출_6</v>
          </cell>
          <cell r="AT1" t="str">
            <v>C_즉시사출_7</v>
          </cell>
          <cell r="AU1" t="str">
            <v>C_즉시사출_8</v>
          </cell>
          <cell r="AV1" t="str">
            <v>C_24H후_1</v>
          </cell>
          <cell r="AW1" t="str">
            <v>C_24H후_2</v>
          </cell>
          <cell r="AX1" t="str">
            <v>C_24H후_3</v>
          </cell>
          <cell r="AY1" t="str">
            <v>C_24H후_4</v>
          </cell>
          <cell r="AZ1" t="str">
            <v>C_24H후_5</v>
          </cell>
          <cell r="BA1" t="str">
            <v>C_24H후_6</v>
          </cell>
          <cell r="BB1" t="str">
            <v>C_24H후_7</v>
          </cell>
          <cell r="BC1" t="str">
            <v>C_24H후_8</v>
          </cell>
          <cell r="BD1" t="str">
            <v>런너중량</v>
          </cell>
          <cell r="BE1" t="str">
            <v>제품중량1</v>
          </cell>
          <cell r="BF1" t="str">
            <v>제품중량2</v>
          </cell>
          <cell r="BG1" t="str">
            <v>제품중량3</v>
          </cell>
          <cell r="BH1" t="str">
            <v>제품중량4</v>
          </cell>
          <cell r="BI1" t="str">
            <v>제품중량5</v>
          </cell>
          <cell r="BJ1" t="str">
            <v>제품중량6</v>
          </cell>
          <cell r="BK1" t="str">
            <v>제품중량7</v>
          </cell>
          <cell r="BL1" t="str">
            <v>제품중량8</v>
          </cell>
        </row>
        <row r="2">
          <cell r="A2" t="str">
            <v>SI1621_20260707</v>
          </cell>
          <cell r="B2" t="str">
            <v>유재호</v>
          </cell>
          <cell r="C2">
            <v>46210</v>
          </cell>
          <cell r="D2" t="str">
            <v>설화수 진설명작크림 60ML (26AD 숄더장식 사출</v>
          </cell>
          <cell r="E2" t="str">
            <v>외경</v>
          </cell>
          <cell r="F2">
            <v>94.28</v>
          </cell>
          <cell r="G2">
            <v>94.29</v>
          </cell>
          <cell r="V2" t="str">
            <v>내경</v>
          </cell>
          <cell r="W2">
            <v>73.53</v>
          </cell>
          <cell r="X2">
            <v>73.52</v>
          </cell>
          <cell r="AM2" t="str">
            <v>언더컷</v>
          </cell>
          <cell r="BD2">
            <v>7.84</v>
          </cell>
          <cell r="BE2">
            <v>16.059999999999999</v>
          </cell>
          <cell r="BF2">
            <v>16.059999999999999</v>
          </cell>
        </row>
        <row r="3">
          <cell r="A3" t="str">
            <v>SI1615_20260707</v>
          </cell>
          <cell r="B3" t="str">
            <v>유재호</v>
          </cell>
          <cell r="C3">
            <v>46210</v>
          </cell>
          <cell r="D3" t="str">
            <v>설화수 진설명작크림 60ML (26AD 캡장식-하단링</v>
          </cell>
          <cell r="E3" t="str">
            <v>외경</v>
          </cell>
          <cell r="F3">
            <v>85.16</v>
          </cell>
          <cell r="G3">
            <v>85.18</v>
          </cell>
          <cell r="V3" t="str">
            <v>언더컷</v>
          </cell>
          <cell r="W3">
            <v>80.28</v>
          </cell>
          <cell r="X3">
            <v>80.2</v>
          </cell>
          <cell r="AM3">
            <v>0</v>
          </cell>
          <cell r="BD3">
            <v>2.38</v>
          </cell>
          <cell r="BE3">
            <v>3.35</v>
          </cell>
          <cell r="BF3">
            <v>3.36</v>
          </cell>
        </row>
        <row r="4">
          <cell r="A4" t="str">
            <v>SI1618_20260707</v>
          </cell>
          <cell r="B4" t="str">
            <v>한창구</v>
          </cell>
          <cell r="C4">
            <v>46210</v>
          </cell>
          <cell r="D4" t="str">
            <v>설화수 진설명작크림 60ML (26AD 내용기</v>
          </cell>
          <cell r="E4" t="str">
            <v>언더컷</v>
          </cell>
          <cell r="F4">
            <v>73.849999999999994</v>
          </cell>
          <cell r="G4">
            <v>73.86</v>
          </cell>
          <cell r="V4" t="str">
            <v>언더컷2</v>
          </cell>
          <cell r="W4">
            <v>62.43</v>
          </cell>
          <cell r="X4">
            <v>62.44</v>
          </cell>
          <cell r="AM4" t="str">
            <v>내경</v>
          </cell>
          <cell r="AN4">
            <v>63.6</v>
          </cell>
          <cell r="AO4">
            <v>63.63</v>
          </cell>
          <cell r="BD4">
            <v>7.1</v>
          </cell>
          <cell r="BE4">
            <v>13.92</v>
          </cell>
          <cell r="BF4">
            <v>13.88</v>
          </cell>
        </row>
        <row r="5">
          <cell r="A5" t="str">
            <v>SI1674_20260703</v>
          </cell>
          <cell r="B5" t="str">
            <v>장세래</v>
          </cell>
          <cell r="C5">
            <v>46206</v>
          </cell>
          <cell r="D5" t="str">
            <v>미니슬림쿠션 접시 사출</v>
          </cell>
          <cell r="E5" t="str">
            <v>외경</v>
          </cell>
          <cell r="V5" t="str">
            <v>언더컷</v>
          </cell>
          <cell r="W5">
            <v>52.67</v>
          </cell>
          <cell r="X5">
            <v>52.68</v>
          </cell>
          <cell r="Y5">
            <v>52.69</v>
          </cell>
          <cell r="Z5">
            <v>52.7</v>
          </cell>
          <cell r="AA5">
            <v>52.7</v>
          </cell>
          <cell r="AB5">
            <v>52.69</v>
          </cell>
          <cell r="AC5">
            <v>52.69</v>
          </cell>
          <cell r="AD5">
            <v>52.68</v>
          </cell>
          <cell r="AM5" t="str">
            <v>외고</v>
          </cell>
          <cell r="BE5">
            <v>3.47</v>
          </cell>
          <cell r="BF5">
            <v>3.51</v>
          </cell>
          <cell r="BG5">
            <v>3.49</v>
          </cell>
          <cell r="BH5">
            <v>3.83</v>
          </cell>
          <cell r="BI5">
            <v>3.53</v>
          </cell>
          <cell r="BJ5">
            <v>3.52</v>
          </cell>
          <cell r="BK5">
            <v>3.54</v>
          </cell>
          <cell r="BL5">
            <v>3.51</v>
          </cell>
        </row>
        <row r="6">
          <cell r="A6" t="str">
            <v>SI1617_20260629</v>
          </cell>
          <cell r="B6" t="str">
            <v>유재호</v>
          </cell>
          <cell r="C6">
            <v>46202</v>
          </cell>
          <cell r="D6" t="str">
            <v>설화수 진설명작크림 60ML (26AD 중용기</v>
          </cell>
          <cell r="E6" t="str">
            <v>외경</v>
          </cell>
          <cell r="F6">
            <v>64.819999999999993</v>
          </cell>
          <cell r="G6">
            <v>64.83</v>
          </cell>
          <cell r="V6" t="str">
            <v>내경</v>
          </cell>
          <cell r="W6">
            <v>61.86</v>
          </cell>
          <cell r="X6">
            <v>61.85</v>
          </cell>
          <cell r="AM6" t="str">
            <v>언더컷</v>
          </cell>
          <cell r="AN6">
            <v>61.88</v>
          </cell>
          <cell r="AO6">
            <v>61.87</v>
          </cell>
          <cell r="BD6">
            <v>6.68</v>
          </cell>
          <cell r="BE6">
            <v>12.23</v>
          </cell>
          <cell r="BF6">
            <v>12.21</v>
          </cell>
        </row>
        <row r="7">
          <cell r="A7" t="str">
            <v>SI1618_20260629</v>
          </cell>
          <cell r="B7" t="str">
            <v>유재호</v>
          </cell>
          <cell r="C7">
            <v>46202</v>
          </cell>
          <cell r="D7" t="str">
            <v>설화수 진설명작크림 60ML (26AD 내용기</v>
          </cell>
          <cell r="E7" t="str">
            <v>언더컷</v>
          </cell>
          <cell r="F7">
            <v>62.23</v>
          </cell>
          <cell r="G7">
            <v>62.22</v>
          </cell>
          <cell r="V7" t="str">
            <v>언더컷2</v>
          </cell>
          <cell r="AM7" t="str">
            <v>내경</v>
          </cell>
          <cell r="AN7">
            <v>64.010000000000005</v>
          </cell>
          <cell r="AO7">
            <v>64.02</v>
          </cell>
          <cell r="BD7">
            <v>7.05</v>
          </cell>
          <cell r="BE7">
            <v>13.26</v>
          </cell>
          <cell r="BF7">
            <v>13.3</v>
          </cell>
        </row>
        <row r="8">
          <cell r="A8" t="str">
            <v>SI1619_20260625</v>
          </cell>
          <cell r="B8" t="str">
            <v>한창구</v>
          </cell>
          <cell r="C8">
            <v>46198</v>
          </cell>
          <cell r="D8" t="str">
            <v>설화수 진설명작크림 60ML (26AD 외용기</v>
          </cell>
          <cell r="E8" t="str">
            <v>나사경</v>
          </cell>
          <cell r="V8" t="str">
            <v>언더컷B</v>
          </cell>
          <cell r="AM8" t="str">
            <v>언더컷</v>
          </cell>
          <cell r="BE8">
            <v>62.94</v>
          </cell>
          <cell r="BF8">
            <v>62.99</v>
          </cell>
        </row>
        <row r="9">
          <cell r="A9" t="str">
            <v>SI1623_20260619</v>
          </cell>
          <cell r="B9" t="str">
            <v>장세래</v>
          </cell>
          <cell r="C9">
            <v>46192</v>
          </cell>
          <cell r="D9" t="str">
            <v>설화수 진설명작크림 리필 60ML (26AD 단캡</v>
          </cell>
          <cell r="E9" t="str">
            <v>외경</v>
          </cell>
          <cell r="F9">
            <v>77.66</v>
          </cell>
          <cell r="G9">
            <v>77.69</v>
          </cell>
          <cell r="V9" t="str">
            <v>내경</v>
          </cell>
          <cell r="AM9" t="str">
            <v>A</v>
          </cell>
          <cell r="BE9">
            <v>13.97</v>
          </cell>
          <cell r="BF9">
            <v>13.94</v>
          </cell>
        </row>
        <row r="10">
          <cell r="A10" t="str">
            <v>SI1615_20260618</v>
          </cell>
          <cell r="B10" t="str">
            <v>장세래</v>
          </cell>
          <cell r="C10">
            <v>46191</v>
          </cell>
          <cell r="D10" t="str">
            <v>설화수 진설명작크림 60ML (26AD 캡장식-하단링</v>
          </cell>
          <cell r="E10" t="str">
            <v>외경</v>
          </cell>
          <cell r="F10">
            <v>84.92</v>
          </cell>
          <cell r="G10">
            <v>84.9</v>
          </cell>
          <cell r="V10" t="str">
            <v>언더컷</v>
          </cell>
          <cell r="AM10">
            <v>0</v>
          </cell>
          <cell r="BE10">
            <v>3.37</v>
          </cell>
          <cell r="BF10">
            <v>3.36</v>
          </cell>
        </row>
        <row r="11">
          <cell r="A11" t="str">
            <v>SI1616_20260612</v>
          </cell>
          <cell r="B11">
            <v>0</v>
          </cell>
          <cell r="C11">
            <v>46185</v>
          </cell>
          <cell r="D11" t="str">
            <v>설화수 진설명작크림 60ML (26AD 사출덮개</v>
          </cell>
          <cell r="E11" t="str">
            <v>A</v>
          </cell>
          <cell r="F11">
            <v>57.95</v>
          </cell>
          <cell r="G11">
            <v>57.96</v>
          </cell>
          <cell r="I11">
            <v>58.05</v>
          </cell>
          <cell r="J11">
            <v>58.03</v>
          </cell>
          <cell r="V11" t="str">
            <v>외경</v>
          </cell>
          <cell r="W11">
            <v>63.3</v>
          </cell>
          <cell r="X11">
            <v>63.35</v>
          </cell>
          <cell r="Z11">
            <v>63.39</v>
          </cell>
          <cell r="AA11">
            <v>63.43</v>
          </cell>
          <cell r="AM11" t="str">
            <v>내경</v>
          </cell>
          <cell r="BE11">
            <v>6</v>
          </cell>
          <cell r="BF11">
            <v>6</v>
          </cell>
        </row>
        <row r="12">
          <cell r="A12" t="str">
            <v>SI1679_20260611</v>
          </cell>
          <cell r="B12" t="str">
            <v>장세래</v>
          </cell>
          <cell r="C12">
            <v>46184</v>
          </cell>
          <cell r="D12" t="str">
            <v>설화수 진설명작크림 60ML (27 AD)_암호 하케이스 사출</v>
          </cell>
          <cell r="E12" t="str">
            <v>외경</v>
          </cell>
          <cell r="F12">
            <v>115.01</v>
          </cell>
          <cell r="V12" t="str">
            <v>언더컷</v>
          </cell>
          <cell r="W12">
            <v>108.32</v>
          </cell>
          <cell r="AM12">
            <v>0</v>
          </cell>
          <cell r="BE12">
            <v>37.4</v>
          </cell>
        </row>
        <row r="13">
          <cell r="A13" t="str">
            <v>SI1678_20260611</v>
          </cell>
          <cell r="B13" t="str">
            <v>장세래</v>
          </cell>
          <cell r="C13">
            <v>46184</v>
          </cell>
          <cell r="D13" t="str">
            <v>설화수 진설명작크림 60ML (27 AD)_암호 상케이스 사출</v>
          </cell>
          <cell r="E13" t="str">
            <v>외경</v>
          </cell>
          <cell r="F13">
            <v>110.97</v>
          </cell>
          <cell r="V13" t="str">
            <v>언더컷</v>
          </cell>
          <cell r="W13">
            <v>109.67</v>
          </cell>
          <cell r="AM13" t="str">
            <v>외고</v>
          </cell>
          <cell r="BE13">
            <v>32.17</v>
          </cell>
        </row>
        <row r="14">
          <cell r="A14" t="str">
            <v>SI1619_20260610</v>
          </cell>
          <cell r="B14" t="str">
            <v>장세래</v>
          </cell>
          <cell r="C14">
            <v>46183</v>
          </cell>
          <cell r="D14" t="str">
            <v>설화수 진설명작크림 60ML (26AD 외용기</v>
          </cell>
          <cell r="E14" t="str">
            <v>나사경</v>
          </cell>
          <cell r="V14" t="str">
            <v>언더컷B</v>
          </cell>
          <cell r="W14">
            <v>72.03</v>
          </cell>
          <cell r="X14">
            <v>71.98</v>
          </cell>
          <cell r="AM14" t="str">
            <v>언더컷</v>
          </cell>
          <cell r="BD14">
            <v>12.59</v>
          </cell>
          <cell r="BE14">
            <v>62.63</v>
          </cell>
          <cell r="BF14">
            <v>62.58</v>
          </cell>
        </row>
        <row r="15">
          <cell r="A15" t="str">
            <v>SI1618_20260610</v>
          </cell>
          <cell r="B15" t="str">
            <v>장세래</v>
          </cell>
          <cell r="C15">
            <v>46183</v>
          </cell>
          <cell r="D15" t="str">
            <v>설화수 진설명작크림 60ML (26AD 내용기</v>
          </cell>
          <cell r="E15" t="str">
            <v>언더컷</v>
          </cell>
          <cell r="F15">
            <v>62.24</v>
          </cell>
          <cell r="G15">
            <v>62.22</v>
          </cell>
          <cell r="V15" t="str">
            <v>언더컷2</v>
          </cell>
          <cell r="AM15" t="str">
            <v>내경</v>
          </cell>
          <cell r="AN15">
            <v>63.94</v>
          </cell>
          <cell r="AO15">
            <v>63.96</v>
          </cell>
          <cell r="BE15">
            <v>13.27</v>
          </cell>
          <cell r="BF15">
            <v>13.3</v>
          </cell>
        </row>
        <row r="16">
          <cell r="A16" t="str">
            <v>SI1619_20260608</v>
          </cell>
          <cell r="B16" t="str">
            <v>한창구</v>
          </cell>
          <cell r="C16">
            <v>46181</v>
          </cell>
          <cell r="D16" t="str">
            <v>설화수 진설명작크림 60ML (26AD 외용기</v>
          </cell>
          <cell r="E16" t="str">
            <v>나사경</v>
          </cell>
          <cell r="V16" t="str">
            <v>언더컷B</v>
          </cell>
          <cell r="AM16" t="str">
            <v>언더컷</v>
          </cell>
          <cell r="BD16">
            <v>12.57</v>
          </cell>
          <cell r="BE16">
            <v>62.59</v>
          </cell>
          <cell r="BF16">
            <v>62.53</v>
          </cell>
        </row>
        <row r="17">
          <cell r="A17" t="str">
            <v>SI1620_20260609</v>
          </cell>
          <cell r="B17" t="str">
            <v>유재호</v>
          </cell>
          <cell r="C17">
            <v>46182</v>
          </cell>
          <cell r="D17" t="str">
            <v>설화수 진설명작크림 60ML (26AD 용기받침 사출</v>
          </cell>
          <cell r="E17" t="str">
            <v>외경</v>
          </cell>
          <cell r="F17">
            <v>90.59</v>
          </cell>
          <cell r="G17">
            <v>90.6</v>
          </cell>
          <cell r="V17" t="str">
            <v>언더컷</v>
          </cell>
          <cell r="W17">
            <v>76.39</v>
          </cell>
          <cell r="X17">
            <v>76.400000000000006</v>
          </cell>
          <cell r="AM17" t="str">
            <v>C</v>
          </cell>
          <cell r="BD17">
            <v>7.46</v>
          </cell>
          <cell r="BE17">
            <v>20.079999999999998</v>
          </cell>
          <cell r="BF17">
            <v>21.03</v>
          </cell>
        </row>
        <row r="18">
          <cell r="A18" t="str">
            <v>SI1621_20260609</v>
          </cell>
          <cell r="B18" t="str">
            <v>유재호</v>
          </cell>
          <cell r="C18">
            <v>46182</v>
          </cell>
          <cell r="D18" t="str">
            <v>설화수 진설명작크림 60ML (26AD 숄더장식 사출</v>
          </cell>
          <cell r="E18" t="str">
            <v>외경</v>
          </cell>
          <cell r="F18">
            <v>94.16</v>
          </cell>
          <cell r="G18">
            <v>94.18</v>
          </cell>
          <cell r="V18" t="str">
            <v>내경</v>
          </cell>
          <cell r="W18">
            <v>73.42</v>
          </cell>
          <cell r="X18">
            <v>73.430000000000007</v>
          </cell>
          <cell r="AM18" t="str">
            <v>언더컷</v>
          </cell>
          <cell r="BD18">
            <v>7.8</v>
          </cell>
          <cell r="BE18">
            <v>15.84</v>
          </cell>
          <cell r="BF18">
            <v>15.9</v>
          </cell>
        </row>
        <row r="19">
          <cell r="A19" t="str">
            <v>SI1617_20260609</v>
          </cell>
          <cell r="B19" t="str">
            <v>유재호</v>
          </cell>
          <cell r="C19">
            <v>46182</v>
          </cell>
          <cell r="D19" t="str">
            <v>설화수 진설명작크림 60ML (26AD 중용기</v>
          </cell>
          <cell r="E19" t="str">
            <v>외경</v>
          </cell>
          <cell r="F19">
            <v>64.84</v>
          </cell>
          <cell r="G19">
            <v>64.83</v>
          </cell>
          <cell r="V19" t="str">
            <v>내경</v>
          </cell>
          <cell r="W19">
            <v>61.87</v>
          </cell>
          <cell r="X19">
            <v>61.88</v>
          </cell>
          <cell r="AM19" t="str">
            <v>언더컷</v>
          </cell>
          <cell r="BD19">
            <v>6.71</v>
          </cell>
          <cell r="BE19">
            <v>12.4</v>
          </cell>
          <cell r="BF19">
            <v>12.4</v>
          </cell>
        </row>
        <row r="20">
          <cell r="A20" t="str">
            <v>SI1674_20260414</v>
          </cell>
          <cell r="B20" t="str">
            <v>장세래</v>
          </cell>
          <cell r="C20">
            <v>46126</v>
          </cell>
          <cell r="D20" t="str">
            <v>미니슬림쿠션 접시 사출</v>
          </cell>
          <cell r="E20" t="str">
            <v>외경</v>
          </cell>
          <cell r="V20" t="str">
            <v>언더컷</v>
          </cell>
          <cell r="W20">
            <v>52.6</v>
          </cell>
          <cell r="AM20" t="str">
            <v>외고</v>
          </cell>
          <cell r="BE20">
            <v>3.7</v>
          </cell>
        </row>
        <row r="21">
          <cell r="A21" t="str">
            <v>SI1675_20260414</v>
          </cell>
          <cell r="B21" t="str">
            <v>장세래</v>
          </cell>
          <cell r="C21">
            <v>46126</v>
          </cell>
          <cell r="D21" t="str">
            <v>미니슬림쿠션 중용기 덮개 사출</v>
          </cell>
          <cell r="E21" t="str">
            <v>외경</v>
          </cell>
          <cell r="V21" t="str">
            <v>리브</v>
          </cell>
          <cell r="W21">
            <v>48.85</v>
          </cell>
          <cell r="X21">
            <v>48.84</v>
          </cell>
          <cell r="AM21" t="str">
            <v>외고</v>
          </cell>
          <cell r="BE21">
            <v>3.56</v>
          </cell>
          <cell r="BF21">
            <v>3.55</v>
          </cell>
        </row>
        <row r="22">
          <cell r="A22" t="str">
            <v>SI1676_20260414</v>
          </cell>
          <cell r="B22" t="str">
            <v>장세래</v>
          </cell>
          <cell r="C22">
            <v>46126</v>
          </cell>
          <cell r="D22" t="str">
            <v>미니슬림쿠션 중용기 사출</v>
          </cell>
          <cell r="E22" t="str">
            <v>외경</v>
          </cell>
          <cell r="V22" t="str">
            <v>리브</v>
          </cell>
          <cell r="W22">
            <v>54.95</v>
          </cell>
          <cell r="AM22" t="str">
            <v>외고</v>
          </cell>
          <cell r="BE22">
            <v>2.88</v>
          </cell>
        </row>
        <row r="23">
          <cell r="A23" t="str">
            <v>SI1673_20260413</v>
          </cell>
          <cell r="B23" t="str">
            <v>장세래</v>
          </cell>
          <cell r="C23">
            <v>46125</v>
          </cell>
          <cell r="D23" t="str">
            <v>미니슬림쿠션 하케이스 사출</v>
          </cell>
          <cell r="E23" t="str">
            <v>외경</v>
          </cell>
          <cell r="F23">
            <v>65.13</v>
          </cell>
          <cell r="G23">
            <v>65.13</v>
          </cell>
          <cell r="V23" t="str">
            <v>언더컷</v>
          </cell>
          <cell r="W23">
            <v>54.63</v>
          </cell>
          <cell r="X23">
            <v>54.63</v>
          </cell>
          <cell r="AM23" t="str">
            <v>C</v>
          </cell>
          <cell r="BE23">
            <v>5.25</v>
          </cell>
          <cell r="BF23">
            <v>5.25</v>
          </cell>
        </row>
        <row r="24">
          <cell r="A24" t="str">
            <v>SI1678_20260413</v>
          </cell>
          <cell r="B24" t="str">
            <v>장세래</v>
          </cell>
          <cell r="C24">
            <v>46125</v>
          </cell>
          <cell r="D24" t="str">
            <v>설화수 진설명작크림 60ML (27 AD)_암호 상케이스 사출</v>
          </cell>
          <cell r="E24" t="str">
            <v>외경</v>
          </cell>
          <cell r="F24">
            <v>110.92</v>
          </cell>
          <cell r="V24" t="str">
            <v>언더컷</v>
          </cell>
          <cell r="W24">
            <v>109.69</v>
          </cell>
          <cell r="AM24" t="str">
            <v>외고</v>
          </cell>
          <cell r="BE24">
            <v>31.96</v>
          </cell>
        </row>
        <row r="25">
          <cell r="A25" t="str">
            <v>SI1679_20260413</v>
          </cell>
          <cell r="B25" t="str">
            <v>장세래</v>
          </cell>
          <cell r="C25">
            <v>46125</v>
          </cell>
          <cell r="D25" t="str">
            <v>설화수 진설명작크림 60ML (27 AD)_암호 하케이스 사출</v>
          </cell>
          <cell r="E25" t="str">
            <v>외경</v>
          </cell>
          <cell r="F25">
            <v>115.01</v>
          </cell>
          <cell r="V25" t="str">
            <v>언더컷</v>
          </cell>
          <cell r="W25">
            <v>108.33</v>
          </cell>
          <cell r="AM25">
            <v>0</v>
          </cell>
          <cell r="BE25">
            <v>37.83</v>
          </cell>
        </row>
        <row r="26">
          <cell r="A26" t="str">
            <v>SI1676_20260403</v>
          </cell>
          <cell r="B26" t="str">
            <v>장세래</v>
          </cell>
          <cell r="C26">
            <v>46115</v>
          </cell>
          <cell r="D26" t="str">
            <v>미니슬림쿠션 중용기 사출</v>
          </cell>
          <cell r="E26" t="str">
            <v>외경</v>
          </cell>
          <cell r="V26" t="str">
            <v>리브</v>
          </cell>
          <cell r="W26">
            <v>54.93</v>
          </cell>
          <cell r="X26">
            <v>54.94</v>
          </cell>
          <cell r="Z26">
            <v>54.93</v>
          </cell>
          <cell r="AA26">
            <v>54.94</v>
          </cell>
          <cell r="AM26" t="str">
            <v>외고</v>
          </cell>
          <cell r="BE26">
            <v>2.89</v>
          </cell>
          <cell r="BF26">
            <v>2.9</v>
          </cell>
          <cell r="BH26">
            <v>2.9</v>
          </cell>
          <cell r="BI26">
            <v>2.92</v>
          </cell>
        </row>
        <row r="27">
          <cell r="A27" t="str">
            <v>SI1673_20260401</v>
          </cell>
          <cell r="B27" t="str">
            <v>장세래</v>
          </cell>
          <cell r="C27">
            <v>46113</v>
          </cell>
          <cell r="D27" t="str">
            <v>미니슬림쿠션 하케이스 사출</v>
          </cell>
          <cell r="E27" t="str">
            <v>외경</v>
          </cell>
          <cell r="F27">
            <v>65.099999999999994</v>
          </cell>
          <cell r="H27">
            <v>65.099999999999994</v>
          </cell>
          <cell r="V27" t="str">
            <v>A</v>
          </cell>
          <cell r="AM27" t="str">
            <v>C</v>
          </cell>
          <cell r="BE27">
            <v>5.3</v>
          </cell>
          <cell r="BG27">
            <v>5.25</v>
          </cell>
        </row>
        <row r="28">
          <cell r="A28" t="str">
            <v>SI1673_20260330</v>
          </cell>
          <cell r="B28" t="str">
            <v>한창구</v>
          </cell>
          <cell r="C28">
            <v>46111</v>
          </cell>
          <cell r="D28" t="str">
            <v>미니슬림쿠션 하케이스 사출</v>
          </cell>
          <cell r="E28" t="str">
            <v>외경</v>
          </cell>
          <cell r="F28">
            <v>65.040000000000006</v>
          </cell>
          <cell r="H28">
            <v>65.05</v>
          </cell>
          <cell r="V28" t="str">
            <v>A</v>
          </cell>
          <cell r="AM28" t="str">
            <v>C</v>
          </cell>
          <cell r="BD28">
            <v>4.42</v>
          </cell>
          <cell r="BE28">
            <v>5.13</v>
          </cell>
          <cell r="BG28">
            <v>5.23</v>
          </cell>
        </row>
        <row r="29">
          <cell r="A29" t="str">
            <v>SI1672_20260330</v>
          </cell>
          <cell r="B29" t="str">
            <v>한창구</v>
          </cell>
          <cell r="C29">
            <v>46111</v>
          </cell>
          <cell r="D29" t="str">
            <v>미니슬림쿠션 상케이스 사출</v>
          </cell>
          <cell r="E29" t="str">
            <v>외경</v>
          </cell>
          <cell r="H29">
            <v>65.180000000000007</v>
          </cell>
          <cell r="V29" t="str">
            <v>A</v>
          </cell>
          <cell r="AM29" t="str">
            <v>C</v>
          </cell>
          <cell r="BG29">
            <v>8.89</v>
          </cell>
        </row>
        <row r="30">
          <cell r="A30" t="str">
            <v>SI1668_20260327</v>
          </cell>
          <cell r="B30" t="str">
            <v>장세래</v>
          </cell>
          <cell r="C30">
            <v>46108</v>
          </cell>
          <cell r="D30" t="str">
            <v>마몽드 어메이징딥 민트클렌징밤 90ml(26AD 원터치단캡 사출</v>
          </cell>
          <cell r="E30" t="str">
            <v>내경</v>
          </cell>
          <cell r="F30">
            <v>84.4</v>
          </cell>
          <cell r="G30">
            <v>84.39</v>
          </cell>
          <cell r="H30">
            <v>84.39</v>
          </cell>
          <cell r="I30">
            <v>84.37</v>
          </cell>
          <cell r="V30" t="str">
            <v>나사경</v>
          </cell>
          <cell r="AM30" t="str">
            <v>언더컷</v>
          </cell>
          <cell r="BE30">
            <v>18.38</v>
          </cell>
          <cell r="BF30">
            <v>18.420000000000002</v>
          </cell>
          <cell r="BG30">
            <v>18.37</v>
          </cell>
          <cell r="BH30">
            <v>18.34</v>
          </cell>
        </row>
        <row r="31">
          <cell r="A31" t="str">
            <v>SI1621_20260327</v>
          </cell>
          <cell r="B31" t="str">
            <v>한창구</v>
          </cell>
          <cell r="C31">
            <v>46108</v>
          </cell>
          <cell r="D31" t="str">
            <v>설화수 진설명작크림 60ML (26AD 숄더장식 사출</v>
          </cell>
          <cell r="E31" t="str">
            <v>외경</v>
          </cell>
          <cell r="F31">
            <v>94.24</v>
          </cell>
          <cell r="G31">
            <v>94.22</v>
          </cell>
          <cell r="V31" t="str">
            <v>내경</v>
          </cell>
          <cell r="AM31" t="str">
            <v>언더컷</v>
          </cell>
          <cell r="BD31">
            <v>7.8</v>
          </cell>
          <cell r="BE31">
            <v>15.9</v>
          </cell>
          <cell r="BF31">
            <v>15.91</v>
          </cell>
        </row>
        <row r="32">
          <cell r="A32" t="str">
            <v>SI1617_20260326</v>
          </cell>
          <cell r="B32" t="str">
            <v>한창구</v>
          </cell>
          <cell r="C32">
            <v>46107</v>
          </cell>
          <cell r="D32" t="str">
            <v>설화수 진설명작크림 60ML (26AD 중용기</v>
          </cell>
          <cell r="E32" t="str">
            <v>외경</v>
          </cell>
          <cell r="F32">
            <v>64.77</v>
          </cell>
          <cell r="G32">
            <v>64.75</v>
          </cell>
          <cell r="V32" t="str">
            <v>내경</v>
          </cell>
          <cell r="W32">
            <v>61.74</v>
          </cell>
          <cell r="X32">
            <v>61.73</v>
          </cell>
          <cell r="AM32" t="str">
            <v>언더컷</v>
          </cell>
          <cell r="BD32">
            <v>6.71</v>
          </cell>
          <cell r="BE32">
            <v>12.24</v>
          </cell>
          <cell r="BF32">
            <v>12.22</v>
          </cell>
        </row>
        <row r="33">
          <cell r="A33" t="str">
            <v>SI1675_20260326</v>
          </cell>
          <cell r="B33" t="str">
            <v>장세래</v>
          </cell>
          <cell r="C33">
            <v>46107</v>
          </cell>
          <cell r="D33" t="str">
            <v>미니슬림쿠션 중용기 덮개 사출</v>
          </cell>
          <cell r="E33" t="str">
            <v>외경</v>
          </cell>
          <cell r="F33">
            <v>54.73</v>
          </cell>
          <cell r="G33">
            <v>54.73</v>
          </cell>
          <cell r="J33">
            <v>54.71</v>
          </cell>
          <cell r="K33">
            <v>54.74</v>
          </cell>
          <cell r="V33" t="str">
            <v>리브</v>
          </cell>
          <cell r="W33">
            <v>48.84</v>
          </cell>
          <cell r="X33">
            <v>48.85</v>
          </cell>
          <cell r="AA33">
            <v>48.86</v>
          </cell>
          <cell r="AB33">
            <v>48.87</v>
          </cell>
          <cell r="AM33" t="str">
            <v>외고</v>
          </cell>
          <cell r="BE33">
            <v>3.58</v>
          </cell>
          <cell r="BF33">
            <v>3.58</v>
          </cell>
          <cell r="BI33">
            <v>3.61</v>
          </cell>
          <cell r="BJ33">
            <v>3.62</v>
          </cell>
        </row>
        <row r="34">
          <cell r="A34" t="str">
            <v>SI1674_20260326</v>
          </cell>
          <cell r="B34" t="str">
            <v>장세래</v>
          </cell>
          <cell r="C34">
            <v>46107</v>
          </cell>
          <cell r="D34" t="str">
            <v>미니슬림쿠션 접시 사출</v>
          </cell>
          <cell r="E34" t="str">
            <v>외경</v>
          </cell>
          <cell r="V34" t="str">
            <v>언더컷</v>
          </cell>
          <cell r="W34">
            <v>52.47</v>
          </cell>
          <cell r="X34">
            <v>52.42</v>
          </cell>
          <cell r="AA34">
            <v>52.47</v>
          </cell>
          <cell r="AB34">
            <v>52.42</v>
          </cell>
          <cell r="AM34" t="str">
            <v>내고</v>
          </cell>
          <cell r="BE34">
            <v>3.77</v>
          </cell>
          <cell r="BI34">
            <v>3.76</v>
          </cell>
        </row>
        <row r="35">
          <cell r="A35" t="str">
            <v>SI1620_20260326</v>
          </cell>
          <cell r="B35" t="str">
            <v>한창구</v>
          </cell>
          <cell r="C35">
            <v>46107</v>
          </cell>
          <cell r="D35" t="str">
            <v>설화수 진설명작크림 60ML (26AD 용기받침 사출</v>
          </cell>
          <cell r="E35" t="str">
            <v>외경</v>
          </cell>
          <cell r="F35">
            <v>90.46</v>
          </cell>
          <cell r="G35">
            <v>90.48</v>
          </cell>
          <cell r="V35" t="str">
            <v>언더컷</v>
          </cell>
          <cell r="W35">
            <v>76.36</v>
          </cell>
          <cell r="X35">
            <v>76.349999999999994</v>
          </cell>
          <cell r="AM35">
            <v>0</v>
          </cell>
          <cell r="BE35">
            <v>21.02</v>
          </cell>
          <cell r="BF35">
            <v>21.05</v>
          </cell>
        </row>
        <row r="36">
          <cell r="A36" t="str">
            <v>SI1679_20260325</v>
          </cell>
          <cell r="B36" t="str">
            <v>장세래</v>
          </cell>
          <cell r="C36">
            <v>46106</v>
          </cell>
          <cell r="D36" t="str">
            <v>설화수 진설명작크림 60ML (27 AD)_암호 하케이스 사출</v>
          </cell>
          <cell r="E36" t="str">
            <v>외경</v>
          </cell>
          <cell r="F36">
            <v>114.94</v>
          </cell>
          <cell r="V36" t="str">
            <v>언더컷</v>
          </cell>
          <cell r="W36">
            <v>108.31</v>
          </cell>
          <cell r="AM36">
            <v>0</v>
          </cell>
          <cell r="BE36">
            <v>36.700000000000003</v>
          </cell>
        </row>
        <row r="37">
          <cell r="A37" t="str">
            <v>SI1672_20260320</v>
          </cell>
          <cell r="B37" t="str">
            <v>장세래</v>
          </cell>
          <cell r="C37">
            <v>46101</v>
          </cell>
          <cell r="D37" t="str">
            <v>미니슬림쿠션 상케이스 사출</v>
          </cell>
          <cell r="E37" t="str">
            <v>외경</v>
          </cell>
          <cell r="F37">
            <v>65.14</v>
          </cell>
          <cell r="H37">
            <v>65.19</v>
          </cell>
          <cell r="V37" t="str">
            <v>A</v>
          </cell>
          <cell r="AM37" t="str">
            <v>C</v>
          </cell>
          <cell r="BE37">
            <v>8.84</v>
          </cell>
          <cell r="BG37">
            <v>8.9499999999999993</v>
          </cell>
        </row>
        <row r="38">
          <cell r="A38" t="str">
            <v>SI1673_20260320</v>
          </cell>
          <cell r="B38" t="str">
            <v>장세래</v>
          </cell>
          <cell r="C38">
            <v>46101</v>
          </cell>
          <cell r="D38" t="str">
            <v>미니슬림쿠션 하케이스 사출</v>
          </cell>
          <cell r="E38" t="str">
            <v>외경</v>
          </cell>
          <cell r="F38">
            <v>65.13</v>
          </cell>
          <cell r="H38">
            <v>65.150000000000006</v>
          </cell>
          <cell r="V38" t="str">
            <v>A</v>
          </cell>
          <cell r="AM38" t="str">
            <v>C</v>
          </cell>
          <cell r="BE38">
            <v>5.27</v>
          </cell>
          <cell r="BG38">
            <v>5.33</v>
          </cell>
        </row>
        <row r="39">
          <cell r="A39" t="str">
            <v>SI1674_20260318</v>
          </cell>
          <cell r="B39" t="str">
            <v>장세래</v>
          </cell>
          <cell r="C39">
            <v>46099</v>
          </cell>
          <cell r="D39" t="str">
            <v>미니슬림쿠션 접시 사출</v>
          </cell>
          <cell r="E39" t="str">
            <v>외경</v>
          </cell>
          <cell r="F39">
            <v>53.43</v>
          </cell>
          <cell r="H39">
            <v>53.4</v>
          </cell>
          <cell r="J39">
            <v>53.43</v>
          </cell>
          <cell r="V39" t="str">
            <v>언더컷</v>
          </cell>
          <cell r="W39">
            <v>52.57</v>
          </cell>
          <cell r="Y39">
            <v>52.57</v>
          </cell>
          <cell r="AA39">
            <v>52.59</v>
          </cell>
          <cell r="AM39" t="str">
            <v>내고</v>
          </cell>
          <cell r="BE39">
            <v>3.76</v>
          </cell>
          <cell r="BG39">
            <v>3.81</v>
          </cell>
          <cell r="BI39">
            <v>3.82</v>
          </cell>
        </row>
        <row r="40">
          <cell r="A40" t="str">
            <v>SI1660_20260317</v>
          </cell>
          <cell r="B40" t="str">
            <v>유재호</v>
          </cell>
          <cell r="C40">
            <v>46098</v>
          </cell>
          <cell r="D40" t="str">
            <v>오딧세이 블랙 로션 130ML (26 EC)(착인) 내캡 사출</v>
          </cell>
          <cell r="E40" t="str">
            <v>기존 62.18</v>
          </cell>
          <cell r="F40">
            <v>62.35</v>
          </cell>
          <cell r="G40">
            <v>62.387</v>
          </cell>
          <cell r="H40">
            <v>62.39</v>
          </cell>
          <cell r="I40">
            <v>62.38</v>
          </cell>
          <cell r="V40" t="str">
            <v>언더컷 29.70~80</v>
          </cell>
          <cell r="W40">
            <v>26.77</v>
          </cell>
          <cell r="X40">
            <v>26.78</v>
          </cell>
          <cell r="Y40">
            <v>26.77</v>
          </cell>
          <cell r="Z40">
            <v>26.78</v>
          </cell>
          <cell r="BD40">
            <v>34.700000000000003</v>
          </cell>
          <cell r="BE40">
            <v>7.06</v>
          </cell>
          <cell r="BF40">
            <v>7.12</v>
          </cell>
          <cell r="BG40">
            <v>7.11</v>
          </cell>
          <cell r="BH40">
            <v>7.12</v>
          </cell>
        </row>
        <row r="41">
          <cell r="A41" t="str">
            <v>SI1668_20260317</v>
          </cell>
          <cell r="B41" t="str">
            <v>장세래</v>
          </cell>
          <cell r="C41">
            <v>46098</v>
          </cell>
          <cell r="D41" t="str">
            <v>마몽드 어메이징딥 민트클렌징밤 90ml(26AD 원터치단캡 사출</v>
          </cell>
          <cell r="E41" t="str">
            <v>내경</v>
          </cell>
          <cell r="F41">
            <v>84.43</v>
          </cell>
          <cell r="G41">
            <v>84.44</v>
          </cell>
          <cell r="H41">
            <v>84.38</v>
          </cell>
          <cell r="I41">
            <v>84.4</v>
          </cell>
          <cell r="J41">
            <v>84.15</v>
          </cell>
          <cell r="K41">
            <v>84.16</v>
          </cell>
          <cell r="L41">
            <v>84.18</v>
          </cell>
          <cell r="M41">
            <v>84.15</v>
          </cell>
          <cell r="V41" t="str">
            <v>나사경</v>
          </cell>
          <cell r="AM41" t="str">
            <v>언더컷</v>
          </cell>
          <cell r="BE41">
            <v>18.46</v>
          </cell>
          <cell r="BF41">
            <v>18.46</v>
          </cell>
          <cell r="BG41">
            <v>18.43</v>
          </cell>
          <cell r="BH41">
            <v>18.5</v>
          </cell>
        </row>
        <row r="42">
          <cell r="A42" t="str">
            <v>SI1671_20260311</v>
          </cell>
          <cell r="B42" t="str">
            <v>한창구</v>
          </cell>
          <cell r="C42">
            <v>46092</v>
          </cell>
          <cell r="D42" t="str">
            <v>마몽드 어메이징딥 민트클렌징밤 90ml(26AD 단용기 사출</v>
          </cell>
          <cell r="E42" t="str">
            <v>외경</v>
          </cell>
          <cell r="F42">
            <v>88.3</v>
          </cell>
          <cell r="G42">
            <v>88.28</v>
          </cell>
          <cell r="H42">
            <v>88.25</v>
          </cell>
          <cell r="I42">
            <v>88.28</v>
          </cell>
          <cell r="V42" t="str">
            <v>나사경</v>
          </cell>
          <cell r="W42">
            <v>83.4</v>
          </cell>
          <cell r="X42">
            <v>83.4</v>
          </cell>
          <cell r="Y42">
            <v>83.43</v>
          </cell>
          <cell r="Z42">
            <v>83.4</v>
          </cell>
          <cell r="AM42">
            <v>0</v>
          </cell>
          <cell r="BE42">
            <v>47.33</v>
          </cell>
          <cell r="BF42">
            <v>47.46</v>
          </cell>
          <cell r="BG42">
            <v>47.53</v>
          </cell>
          <cell r="BH42">
            <v>47.45</v>
          </cell>
        </row>
        <row r="43">
          <cell r="A43" t="str">
            <v>SI1668_20260311</v>
          </cell>
          <cell r="B43" t="str">
            <v>장세래</v>
          </cell>
          <cell r="C43">
            <v>46092</v>
          </cell>
          <cell r="D43" t="str">
            <v>마몽드 어메이징딥 민트클렌징밤 90ml(26AD 원터치단캡 사출</v>
          </cell>
          <cell r="E43" t="str">
            <v>내경</v>
          </cell>
          <cell r="F43">
            <v>84.41</v>
          </cell>
          <cell r="G43">
            <v>84.38</v>
          </cell>
          <cell r="H43">
            <v>84.39</v>
          </cell>
          <cell r="I43">
            <v>84.38</v>
          </cell>
          <cell r="V43" t="str">
            <v>나사경</v>
          </cell>
          <cell r="AM43" t="str">
            <v>언더컷</v>
          </cell>
          <cell r="BE43">
            <v>18.82</v>
          </cell>
          <cell r="BF43">
            <v>19.09</v>
          </cell>
          <cell r="BG43">
            <v>18.760000000000002</v>
          </cell>
          <cell r="BH43">
            <v>18.989999999999998</v>
          </cell>
        </row>
        <row r="44">
          <cell r="A44" t="str">
            <v>SI1632_20260310</v>
          </cell>
          <cell r="B44" t="str">
            <v>유재호</v>
          </cell>
          <cell r="C44">
            <v>46091</v>
          </cell>
          <cell r="D44" t="str">
            <v>설화수 진설명작크림 (견) 5ML (AD 단용기</v>
          </cell>
          <cell r="E44" t="str">
            <v>나사경</v>
          </cell>
          <cell r="F44">
            <v>36.21</v>
          </cell>
          <cell r="G44">
            <v>36.22</v>
          </cell>
          <cell r="H44">
            <v>36.21</v>
          </cell>
          <cell r="I44">
            <v>36.22</v>
          </cell>
          <cell r="V44" t="str">
            <v>외경</v>
          </cell>
          <cell r="W44">
            <v>36.229999999999997</v>
          </cell>
          <cell r="X44">
            <v>36.229999999999997</v>
          </cell>
          <cell r="Y44">
            <v>36.229999999999997</v>
          </cell>
          <cell r="Z44">
            <v>36.229999999999997</v>
          </cell>
          <cell r="AM44" t="str">
            <v>언더컷</v>
          </cell>
          <cell r="BD44">
            <v>16.95</v>
          </cell>
          <cell r="BE44">
            <v>5.26</v>
          </cell>
          <cell r="BF44">
            <v>5.29</v>
          </cell>
          <cell r="BG44">
            <v>5.26</v>
          </cell>
          <cell r="BH44">
            <v>5.27</v>
          </cell>
        </row>
        <row r="45">
          <cell r="A45" t="str">
            <v>SI1671_20260306</v>
          </cell>
          <cell r="B45" t="str">
            <v>장세래</v>
          </cell>
          <cell r="C45">
            <v>46087</v>
          </cell>
          <cell r="D45" t="str">
            <v>마몽드 어메이징딥 민트클렌징밤 90ml(26AD 단용기 사출</v>
          </cell>
          <cell r="E45" t="str">
            <v>외경</v>
          </cell>
          <cell r="F45">
            <v>88.17</v>
          </cell>
          <cell r="G45">
            <v>88.19</v>
          </cell>
          <cell r="H45">
            <v>88.24</v>
          </cell>
          <cell r="I45">
            <v>88.22</v>
          </cell>
          <cell r="V45" t="str">
            <v>나사경</v>
          </cell>
          <cell r="AM45">
            <v>0</v>
          </cell>
          <cell r="BE45">
            <v>47.23</v>
          </cell>
          <cell r="BF45">
            <v>47.4</v>
          </cell>
          <cell r="BG45">
            <v>47.35</v>
          </cell>
          <cell r="BH45">
            <v>47.29</v>
          </cell>
        </row>
        <row r="46">
          <cell r="A46" t="str">
            <v>SI1668_20260306</v>
          </cell>
          <cell r="B46" t="str">
            <v>장세래</v>
          </cell>
          <cell r="C46">
            <v>46087</v>
          </cell>
          <cell r="D46" t="str">
            <v>마몽드 어메이징딥 민트클렌징밤 90ml(26AD 원터치단캡 사출</v>
          </cell>
          <cell r="E46" t="str">
            <v>내경</v>
          </cell>
          <cell r="F46">
            <v>84.2</v>
          </cell>
          <cell r="G46">
            <v>84.28</v>
          </cell>
          <cell r="H46">
            <v>84.25</v>
          </cell>
          <cell r="I46">
            <v>84.31</v>
          </cell>
          <cell r="V46" t="str">
            <v>나사경</v>
          </cell>
          <cell r="AM46" t="str">
            <v>언더컷</v>
          </cell>
          <cell r="BE46">
            <v>18.34</v>
          </cell>
          <cell r="BF46">
            <v>18.39</v>
          </cell>
          <cell r="BG46">
            <v>18.350000000000001</v>
          </cell>
          <cell r="BH46">
            <v>18.45</v>
          </cell>
        </row>
        <row r="47">
          <cell r="A47" t="str">
            <v>SI1674_20260305</v>
          </cell>
          <cell r="B47" t="str">
            <v>장세래</v>
          </cell>
          <cell r="C47">
            <v>46086</v>
          </cell>
          <cell r="D47" t="str">
            <v>미니슬림쿠션 접시 사출</v>
          </cell>
          <cell r="E47" t="str">
            <v>외경</v>
          </cell>
          <cell r="F47">
            <v>53.41</v>
          </cell>
          <cell r="V47" t="str">
            <v>언더컷</v>
          </cell>
          <cell r="W47">
            <v>52.59</v>
          </cell>
          <cell r="AM47" t="str">
            <v>내고</v>
          </cell>
          <cell r="BE47">
            <v>3.75</v>
          </cell>
        </row>
        <row r="48">
          <cell r="A48" t="str">
            <v>SI1675_20260305</v>
          </cell>
          <cell r="B48" t="str">
            <v>장세래</v>
          </cell>
          <cell r="C48">
            <v>46086</v>
          </cell>
          <cell r="D48" t="str">
            <v>미니슬림쿠션 중용기 덮개 사출</v>
          </cell>
          <cell r="E48" t="str">
            <v>외경</v>
          </cell>
          <cell r="F48">
            <v>54.73</v>
          </cell>
          <cell r="V48" t="str">
            <v>리브</v>
          </cell>
          <cell r="W48">
            <v>48.85</v>
          </cell>
          <cell r="AM48" t="str">
            <v>외고</v>
          </cell>
          <cell r="BE48">
            <v>3.56</v>
          </cell>
        </row>
        <row r="49">
          <cell r="A49" t="str">
            <v>SI1676_20260305</v>
          </cell>
          <cell r="B49" t="str">
            <v>장세래</v>
          </cell>
          <cell r="C49">
            <v>46086</v>
          </cell>
          <cell r="D49" t="str">
            <v>미니슬림쿠션 중용기 사출</v>
          </cell>
          <cell r="E49" t="str">
            <v>외경</v>
          </cell>
          <cell r="F49">
            <v>61.59</v>
          </cell>
          <cell r="V49" t="str">
            <v>리브</v>
          </cell>
          <cell r="W49">
            <v>54.95</v>
          </cell>
          <cell r="AM49" t="str">
            <v>외고</v>
          </cell>
          <cell r="BE49">
            <v>2.85</v>
          </cell>
        </row>
        <row r="50">
          <cell r="A50" t="str">
            <v>SI1679_20260304</v>
          </cell>
          <cell r="B50" t="str">
            <v>장세래</v>
          </cell>
          <cell r="C50">
            <v>46085</v>
          </cell>
          <cell r="D50" t="str">
            <v>설화수 진설명작크림 60ML (27 AD)_암호 하케이스 사출</v>
          </cell>
          <cell r="E50" t="str">
            <v>외경</v>
          </cell>
          <cell r="F50">
            <v>114.81</v>
          </cell>
          <cell r="V50" t="str">
            <v>언더컷</v>
          </cell>
          <cell r="AM50">
            <v>0</v>
          </cell>
          <cell r="BE50">
            <v>33.89</v>
          </cell>
        </row>
        <row r="51">
          <cell r="A51" t="str">
            <v>SI1673_20260304</v>
          </cell>
          <cell r="B51" t="str">
            <v>장세래</v>
          </cell>
          <cell r="C51">
            <v>46085</v>
          </cell>
          <cell r="D51" t="str">
            <v>미니슬림쿠션 하케이스 사출</v>
          </cell>
          <cell r="E51" t="str">
            <v>외경</v>
          </cell>
          <cell r="F51">
            <v>65.08</v>
          </cell>
          <cell r="V51" t="str">
            <v>A</v>
          </cell>
          <cell r="AM51" t="str">
            <v>C</v>
          </cell>
          <cell r="BE51">
            <v>5.2</v>
          </cell>
        </row>
        <row r="52">
          <cell r="A52" t="str">
            <v>SI1672_20260304</v>
          </cell>
          <cell r="B52" t="str">
            <v>장세래</v>
          </cell>
          <cell r="C52">
            <v>46085</v>
          </cell>
          <cell r="D52" t="str">
            <v>미니슬림쿠션 상케이스 사출</v>
          </cell>
          <cell r="E52" t="str">
            <v>외경</v>
          </cell>
          <cell r="F52">
            <v>65.069999999999993</v>
          </cell>
          <cell r="V52" t="str">
            <v>A</v>
          </cell>
          <cell r="AM52" t="str">
            <v>C</v>
          </cell>
          <cell r="BE52">
            <v>8.7200000000000006</v>
          </cell>
        </row>
        <row r="53">
          <cell r="A53" t="str">
            <v>SI1678_20260225</v>
          </cell>
          <cell r="B53" t="str">
            <v>장세래</v>
          </cell>
          <cell r="C53">
            <v>46078</v>
          </cell>
          <cell r="D53" t="str">
            <v>설화수 진설명작크림 60ML (27 AD)_암호 상케이스 사출</v>
          </cell>
          <cell r="E53" t="str">
            <v>외경</v>
          </cell>
          <cell r="F53">
            <v>110.92</v>
          </cell>
          <cell r="V53" t="str">
            <v>언더컷</v>
          </cell>
          <cell r="W53">
            <v>109.68</v>
          </cell>
          <cell r="AM53" t="str">
            <v>외고</v>
          </cell>
          <cell r="BE53">
            <v>32.380000000000003</v>
          </cell>
        </row>
        <row r="54">
          <cell r="A54" t="str">
            <v>SI1616_20260225</v>
          </cell>
          <cell r="B54">
            <v>0</v>
          </cell>
          <cell r="C54">
            <v>46078</v>
          </cell>
          <cell r="D54" t="str">
            <v>설화수 진설명작크림 60ML (26AD 사출덮개</v>
          </cell>
          <cell r="E54" t="str">
            <v>A</v>
          </cell>
          <cell r="V54" t="str">
            <v>외경</v>
          </cell>
          <cell r="W54">
            <v>63.38</v>
          </cell>
          <cell r="X54">
            <v>63.39</v>
          </cell>
          <cell r="AM54" t="str">
            <v>내경</v>
          </cell>
          <cell r="BD54">
            <v>8.26</v>
          </cell>
          <cell r="BE54">
            <v>6.02</v>
          </cell>
          <cell r="BF54">
            <v>6.04</v>
          </cell>
        </row>
        <row r="55">
          <cell r="A55" t="str">
            <v>SI1633_20260220</v>
          </cell>
          <cell r="B55" t="str">
            <v>한창구</v>
          </cell>
          <cell r="C55">
            <v>46073</v>
          </cell>
          <cell r="D55" t="str">
            <v>설화수 진설명작크림 (견) 5ML (AD 용기받침</v>
          </cell>
          <cell r="E55" t="str">
            <v>언더컷</v>
          </cell>
          <cell r="F55">
            <v>33.72</v>
          </cell>
          <cell r="G55">
            <v>33.74</v>
          </cell>
          <cell r="H55">
            <v>33.729999999999997</v>
          </cell>
          <cell r="I55">
            <v>33.72</v>
          </cell>
          <cell r="V55" t="str">
            <v>키잡이</v>
          </cell>
          <cell r="W55">
            <v>35.28</v>
          </cell>
          <cell r="X55">
            <v>35.28</v>
          </cell>
          <cell r="Y55">
            <v>35.270000000000003</v>
          </cell>
          <cell r="Z55">
            <v>35.270000000000003</v>
          </cell>
          <cell r="AM55" t="str">
            <v>외경</v>
          </cell>
          <cell r="AN55">
            <v>48.13</v>
          </cell>
          <cell r="AO55">
            <v>48.12</v>
          </cell>
          <cell r="AP55">
            <v>48.14</v>
          </cell>
          <cell r="AQ55">
            <v>48.13</v>
          </cell>
          <cell r="BE55">
            <v>5.68</v>
          </cell>
          <cell r="BF55">
            <v>5.67</v>
          </cell>
          <cell r="BG55">
            <v>5.67</v>
          </cell>
          <cell r="BH55">
            <v>5.67</v>
          </cell>
        </row>
        <row r="56">
          <cell r="A56" t="str">
            <v>SI1674_20260213</v>
          </cell>
          <cell r="B56" t="str">
            <v>장세래</v>
          </cell>
          <cell r="C56">
            <v>46066</v>
          </cell>
          <cell r="D56" t="str">
            <v>미니슬림쿠션 접시 사출</v>
          </cell>
          <cell r="E56" t="str">
            <v>외경</v>
          </cell>
          <cell r="F56">
            <v>53.3</v>
          </cell>
          <cell r="G56">
            <v>53.3</v>
          </cell>
          <cell r="V56" t="str">
            <v>언더컷</v>
          </cell>
          <cell r="W56">
            <v>52.6</v>
          </cell>
          <cell r="X56">
            <v>52.67</v>
          </cell>
          <cell r="AM56" t="str">
            <v>내고</v>
          </cell>
          <cell r="BE56">
            <v>3.69</v>
          </cell>
        </row>
        <row r="57">
          <cell r="A57" t="str">
            <v>SI1640_20260213</v>
          </cell>
          <cell r="B57" t="str">
            <v>한창구</v>
          </cell>
          <cell r="C57">
            <v>46066</v>
          </cell>
          <cell r="D57" t="str">
            <v>헤라 시그니아 바이탈리프팅크림 소용량 15ml 26AD 내캡</v>
          </cell>
          <cell r="E57" t="str">
            <v>언더컷</v>
          </cell>
          <cell r="F57">
            <v>44.74</v>
          </cell>
          <cell r="G57">
            <v>44.73</v>
          </cell>
          <cell r="H57">
            <v>44.74</v>
          </cell>
          <cell r="I57">
            <v>44.75</v>
          </cell>
          <cell r="J57">
            <v>44.76</v>
          </cell>
          <cell r="K57">
            <v>44.74</v>
          </cell>
          <cell r="L57">
            <v>44.74</v>
          </cell>
          <cell r="M57">
            <v>44.73</v>
          </cell>
          <cell r="V57" t="str">
            <v>나사경</v>
          </cell>
          <cell r="AM57" t="str">
            <v>외경</v>
          </cell>
        </row>
        <row r="58">
          <cell r="A58" t="str">
            <v>SI1676_20260210</v>
          </cell>
          <cell r="B58" t="str">
            <v>장세래</v>
          </cell>
          <cell r="C58">
            <v>46063</v>
          </cell>
          <cell r="D58" t="str">
            <v>미니슬림쿠션 중용기 사출</v>
          </cell>
          <cell r="E58" t="str">
            <v>외경</v>
          </cell>
          <cell r="V58" t="str">
            <v>리브</v>
          </cell>
          <cell r="W58">
            <v>54.91</v>
          </cell>
          <cell r="X58">
            <v>54.92</v>
          </cell>
          <cell r="AM58" t="str">
            <v>외고</v>
          </cell>
          <cell r="BE58">
            <v>2.8</v>
          </cell>
        </row>
        <row r="59">
          <cell r="A59" t="str">
            <v>SI1668_20260210</v>
          </cell>
          <cell r="B59" t="str">
            <v>장세래</v>
          </cell>
          <cell r="C59">
            <v>46063</v>
          </cell>
          <cell r="D59" t="str">
            <v>마몽드 어메이징딥 민트클렌징밤 90ml(26AD 원터치단캡 사출</v>
          </cell>
          <cell r="E59" t="str">
            <v>내경</v>
          </cell>
          <cell r="F59">
            <v>84.26</v>
          </cell>
          <cell r="G59">
            <v>84.27</v>
          </cell>
          <cell r="H59">
            <v>84.28</v>
          </cell>
          <cell r="I59">
            <v>84.3</v>
          </cell>
          <cell r="V59" t="str">
            <v>나사경</v>
          </cell>
          <cell r="AM59" t="str">
            <v>언더컷</v>
          </cell>
          <cell r="BE59">
            <v>18.46</v>
          </cell>
          <cell r="BF59">
            <v>18.420000000000002</v>
          </cell>
          <cell r="BG59">
            <v>18.399999999999999</v>
          </cell>
          <cell r="BH59">
            <v>18.5</v>
          </cell>
        </row>
        <row r="60">
          <cell r="A60" t="str">
            <v>SI1616_20260209</v>
          </cell>
          <cell r="B60" t="str">
            <v>한창구</v>
          </cell>
          <cell r="C60">
            <v>46062</v>
          </cell>
          <cell r="D60" t="str">
            <v>설화수 진설명작크림 60ML (26AD 사출덮개</v>
          </cell>
          <cell r="E60" t="str">
            <v>A</v>
          </cell>
          <cell r="F60">
            <v>58.32</v>
          </cell>
          <cell r="G60">
            <v>58.29</v>
          </cell>
          <cell r="V60" t="str">
            <v>외경</v>
          </cell>
          <cell r="W60">
            <v>63.4</v>
          </cell>
          <cell r="X60">
            <v>63.45</v>
          </cell>
          <cell r="AM60" t="str">
            <v>내경</v>
          </cell>
          <cell r="BD60">
            <v>8.34</v>
          </cell>
          <cell r="BE60">
            <v>6.17</v>
          </cell>
          <cell r="BF60">
            <v>6.2</v>
          </cell>
        </row>
        <row r="61">
          <cell r="A61" t="str">
            <v>SI1629_20260209</v>
          </cell>
          <cell r="B61" t="str">
            <v>한창구</v>
          </cell>
          <cell r="C61">
            <v>46062</v>
          </cell>
          <cell r="D61" t="str">
            <v>설화수 진설명작크림 (견) 10ML (AD 사출덮개</v>
          </cell>
          <cell r="E61" t="str">
            <v>내경</v>
          </cell>
          <cell r="F61">
            <v>34.950000000000003</v>
          </cell>
          <cell r="G61">
            <v>34.92</v>
          </cell>
          <cell r="H61">
            <v>34.94</v>
          </cell>
          <cell r="I61">
            <v>34.909999999999997</v>
          </cell>
          <cell r="V61" t="str">
            <v>외경</v>
          </cell>
          <cell r="W61">
            <v>37.659999999999997</v>
          </cell>
          <cell r="X61">
            <v>37.69</v>
          </cell>
          <cell r="Y61">
            <v>37.65</v>
          </cell>
          <cell r="Z61">
            <v>37.659999999999997</v>
          </cell>
          <cell r="AM61" t="str">
            <v>외고</v>
          </cell>
          <cell r="BD61">
            <v>9.9499999999999993</v>
          </cell>
          <cell r="BE61">
            <v>2.2000000000000002</v>
          </cell>
          <cell r="BF61">
            <v>2.1800000000000002</v>
          </cell>
          <cell r="BG61">
            <v>2.1800000000000002</v>
          </cell>
          <cell r="BH61">
            <v>2.2200000000000002</v>
          </cell>
        </row>
        <row r="62">
          <cell r="A62" t="str">
            <v>SI1634_20260209</v>
          </cell>
          <cell r="B62" t="str">
            <v>한창구</v>
          </cell>
          <cell r="C62">
            <v>46062</v>
          </cell>
          <cell r="D62" t="str">
            <v>설화수 진설명작크림 (견) 5ML (AD 사출덮개</v>
          </cell>
          <cell r="E62" t="str">
            <v>내경</v>
          </cell>
          <cell r="F62">
            <v>24.51</v>
          </cell>
          <cell r="G62">
            <v>24.52</v>
          </cell>
          <cell r="H62">
            <v>24.5</v>
          </cell>
          <cell r="I62">
            <v>24.51</v>
          </cell>
          <cell r="V62" t="str">
            <v>외경</v>
          </cell>
          <cell r="W62">
            <v>27.22</v>
          </cell>
          <cell r="X62">
            <v>27.22</v>
          </cell>
          <cell r="Y62">
            <v>27.22</v>
          </cell>
          <cell r="Z62">
            <v>27.24</v>
          </cell>
          <cell r="AM62" t="str">
            <v>외고</v>
          </cell>
          <cell r="BD62">
            <v>9.48</v>
          </cell>
          <cell r="BE62">
            <v>1.18</v>
          </cell>
          <cell r="BF62">
            <v>1.18</v>
          </cell>
          <cell r="BG62">
            <v>1.19</v>
          </cell>
          <cell r="BH62">
            <v>1.18</v>
          </cell>
        </row>
        <row r="63">
          <cell r="A63" t="str">
            <v>SI1667_20260206</v>
          </cell>
          <cell r="B63">
            <v>0</v>
          </cell>
          <cell r="C63">
            <v>46059</v>
          </cell>
          <cell r="D63" t="str">
            <v>오딧세이 로맨틱더클래식 스킨리파이너130ML(26EC(착인 내캡</v>
          </cell>
          <cell r="E63" t="str">
            <v>스토퍼</v>
          </cell>
          <cell r="F63">
            <v>29.77</v>
          </cell>
          <cell r="G63">
            <v>29.78</v>
          </cell>
          <cell r="H63">
            <v>29.8</v>
          </cell>
          <cell r="I63">
            <v>29.79</v>
          </cell>
          <cell r="J63">
            <v>29.78</v>
          </cell>
          <cell r="K63">
            <v>29.8</v>
          </cell>
          <cell r="L63">
            <v>29.77</v>
          </cell>
          <cell r="M63">
            <v>29.78</v>
          </cell>
          <cell r="V63" t="str">
            <v>키</v>
          </cell>
          <cell r="W63">
            <v>61.9</v>
          </cell>
          <cell r="X63">
            <v>61.98</v>
          </cell>
          <cell r="Y63">
            <v>61.92</v>
          </cell>
          <cell r="Z63">
            <v>61.96</v>
          </cell>
          <cell r="AA63">
            <v>61.91</v>
          </cell>
          <cell r="AB63">
            <v>61.96</v>
          </cell>
          <cell r="AC63">
            <v>61.94</v>
          </cell>
          <cell r="AD63">
            <v>61.96</v>
          </cell>
          <cell r="BE63">
            <v>4.8099999999999996</v>
          </cell>
          <cell r="BF63">
            <v>4.8</v>
          </cell>
          <cell r="BG63">
            <v>4.84</v>
          </cell>
          <cell r="BH63">
            <v>4.84</v>
          </cell>
          <cell r="BI63">
            <v>7.12</v>
          </cell>
          <cell r="BJ63">
            <v>7.18</v>
          </cell>
          <cell r="BK63">
            <v>7.21</v>
          </cell>
          <cell r="BL63">
            <v>7.18</v>
          </cell>
        </row>
        <row r="64">
          <cell r="A64" t="str">
            <v>SI1674_20260204</v>
          </cell>
          <cell r="B64" t="str">
            <v>장세래</v>
          </cell>
          <cell r="C64">
            <v>46057</v>
          </cell>
          <cell r="D64" t="str">
            <v>미니슬림쿠션 접시 사출</v>
          </cell>
          <cell r="E64" t="str">
            <v>외경</v>
          </cell>
          <cell r="F64">
            <v>53.35</v>
          </cell>
          <cell r="G64">
            <v>53.42</v>
          </cell>
          <cell r="V64" t="str">
            <v>언더컷</v>
          </cell>
          <cell r="W64">
            <v>52.71</v>
          </cell>
          <cell r="X64">
            <v>52.8</v>
          </cell>
          <cell r="AM64" t="str">
            <v>내고</v>
          </cell>
          <cell r="BE64">
            <v>3.72</v>
          </cell>
          <cell r="BF64">
            <v>3.79</v>
          </cell>
        </row>
        <row r="65">
          <cell r="A65" t="str">
            <v>SI1675_20260203</v>
          </cell>
          <cell r="B65" t="str">
            <v>장세래</v>
          </cell>
          <cell r="C65">
            <v>46056</v>
          </cell>
          <cell r="D65" t="str">
            <v>미니슬림쿠션 중용기 덮개 사출</v>
          </cell>
          <cell r="E65" t="str">
            <v>외경</v>
          </cell>
          <cell r="V65" t="str">
            <v>A</v>
          </cell>
          <cell r="W65">
            <v>48.88</v>
          </cell>
          <cell r="AM65" t="str">
            <v>외고</v>
          </cell>
          <cell r="BE65">
            <v>3.59</v>
          </cell>
        </row>
        <row r="66">
          <cell r="A66" t="str">
            <v>SI1676_20260203</v>
          </cell>
          <cell r="B66" t="str">
            <v>장세래</v>
          </cell>
          <cell r="C66">
            <v>46056</v>
          </cell>
          <cell r="D66" t="str">
            <v>미니슬림쿠션 중용기 사출</v>
          </cell>
          <cell r="E66" t="str">
            <v>외경</v>
          </cell>
          <cell r="F66">
            <v>61.53</v>
          </cell>
          <cell r="V66" t="str">
            <v>리브</v>
          </cell>
          <cell r="W66">
            <v>54.9</v>
          </cell>
          <cell r="AM66" t="str">
            <v>외고</v>
          </cell>
          <cell r="BE66">
            <v>2.76</v>
          </cell>
        </row>
        <row r="67">
          <cell r="A67" t="str">
            <v>SI1673_20260202</v>
          </cell>
          <cell r="B67" t="str">
            <v>장세래</v>
          </cell>
          <cell r="C67">
            <v>46055</v>
          </cell>
          <cell r="D67" t="str">
            <v>미니슬림쿠션 하케이스 사출</v>
          </cell>
          <cell r="E67" t="str">
            <v>외경</v>
          </cell>
          <cell r="F67">
            <v>65</v>
          </cell>
          <cell r="V67" t="str">
            <v>A</v>
          </cell>
          <cell r="AM67" t="str">
            <v>C</v>
          </cell>
          <cell r="AN67">
            <v>12.11</v>
          </cell>
          <cell r="BE67">
            <v>5.25</v>
          </cell>
        </row>
        <row r="68">
          <cell r="A68" t="str">
            <v>SI1672_20260202</v>
          </cell>
          <cell r="B68" t="str">
            <v>장세래</v>
          </cell>
          <cell r="C68">
            <v>46055</v>
          </cell>
          <cell r="D68" t="str">
            <v>미니슬림쿠션 상케이스 사출</v>
          </cell>
          <cell r="E68" t="str">
            <v>외경</v>
          </cell>
          <cell r="F68">
            <v>65.09</v>
          </cell>
          <cell r="V68" t="str">
            <v>A</v>
          </cell>
          <cell r="AM68" t="str">
            <v>C</v>
          </cell>
          <cell r="AN68">
            <v>12.04</v>
          </cell>
          <cell r="BE68">
            <v>8.75</v>
          </cell>
        </row>
        <row r="69">
          <cell r="A69" t="str">
            <v>SI1675_20260130</v>
          </cell>
          <cell r="B69" t="str">
            <v>장세래</v>
          </cell>
          <cell r="C69">
            <v>46052</v>
          </cell>
          <cell r="D69" t="str">
            <v>미니슬림쿠션 중용기 덮개 사출</v>
          </cell>
          <cell r="E69" t="str">
            <v>외경</v>
          </cell>
          <cell r="F69">
            <v>54.73</v>
          </cell>
          <cell r="H69">
            <v>54.75</v>
          </cell>
          <cell r="J69">
            <v>54.7</v>
          </cell>
          <cell r="V69" t="str">
            <v>A</v>
          </cell>
          <cell r="W69">
            <v>48.9</v>
          </cell>
          <cell r="Y69">
            <v>48.89</v>
          </cell>
          <cell r="AA69">
            <v>48.8</v>
          </cell>
          <cell r="AM69" t="str">
            <v>외고</v>
          </cell>
          <cell r="BE69">
            <v>3.53</v>
          </cell>
          <cell r="BG69">
            <v>3.57</v>
          </cell>
          <cell r="BI69">
            <v>3.55</v>
          </cell>
        </row>
        <row r="70">
          <cell r="A70" t="str">
            <v>SI1676_20260130</v>
          </cell>
          <cell r="B70" t="str">
            <v>장세래</v>
          </cell>
          <cell r="C70">
            <v>46052</v>
          </cell>
          <cell r="D70" t="str">
            <v>미니슬림쿠션 중용기 사출</v>
          </cell>
          <cell r="E70" t="str">
            <v>외경</v>
          </cell>
          <cell r="F70">
            <v>61.45</v>
          </cell>
          <cell r="G70">
            <v>61.47</v>
          </cell>
          <cell r="H70">
            <v>61.56</v>
          </cell>
          <cell r="V70" t="str">
            <v>리브</v>
          </cell>
          <cell r="W70">
            <v>54.85</v>
          </cell>
          <cell r="X70">
            <v>54.88</v>
          </cell>
          <cell r="Y70">
            <v>54.93</v>
          </cell>
          <cell r="AM70" t="str">
            <v>외고</v>
          </cell>
          <cell r="BD70">
            <v>5.37</v>
          </cell>
          <cell r="BE70">
            <v>2.72</v>
          </cell>
          <cell r="BF70">
            <v>2.73</v>
          </cell>
          <cell r="BG70">
            <v>2.76</v>
          </cell>
        </row>
        <row r="71">
          <cell r="A71" t="str">
            <v>SI1629_20260128</v>
          </cell>
          <cell r="B71" t="str">
            <v>한창구</v>
          </cell>
          <cell r="C71">
            <v>46050</v>
          </cell>
          <cell r="D71" t="str">
            <v>설화수 진설명작크림 (견) 10ML (AD 사출덮개</v>
          </cell>
          <cell r="E71" t="str">
            <v>내경</v>
          </cell>
          <cell r="F71">
            <v>34.909999999999997</v>
          </cell>
          <cell r="G71">
            <v>34.9</v>
          </cell>
          <cell r="H71">
            <v>34.92</v>
          </cell>
          <cell r="I71">
            <v>34.909999999999997</v>
          </cell>
          <cell r="V71" t="str">
            <v>외경</v>
          </cell>
          <cell r="W71">
            <v>37.65</v>
          </cell>
          <cell r="X71">
            <v>37.659999999999997</v>
          </cell>
          <cell r="Y71">
            <v>37.65</v>
          </cell>
          <cell r="Z71">
            <v>37.65</v>
          </cell>
          <cell r="AM71" t="str">
            <v>외고</v>
          </cell>
          <cell r="BD71">
            <v>9.9499999999999993</v>
          </cell>
          <cell r="BE71">
            <v>2.23</v>
          </cell>
          <cell r="BF71">
            <v>2.2200000000000002</v>
          </cell>
          <cell r="BG71">
            <v>2.2400000000000002</v>
          </cell>
          <cell r="BH71">
            <v>2.23</v>
          </cell>
        </row>
        <row r="72">
          <cell r="A72" t="str">
            <v>SI1671_20260126</v>
          </cell>
          <cell r="B72" t="str">
            <v>유재호</v>
          </cell>
          <cell r="C72">
            <v>46048</v>
          </cell>
          <cell r="D72" t="str">
            <v>마몽드 어메이징딥 민트클렌징밤 90ml(26AD 단용기 사출</v>
          </cell>
          <cell r="E72" t="str">
            <v>외경</v>
          </cell>
          <cell r="F72">
            <v>88.17</v>
          </cell>
          <cell r="G72">
            <v>88.18</v>
          </cell>
          <cell r="H72">
            <v>88.19</v>
          </cell>
          <cell r="I72">
            <v>88.17</v>
          </cell>
          <cell r="V72" t="str">
            <v>나사경</v>
          </cell>
          <cell r="W72">
            <v>83.55</v>
          </cell>
          <cell r="X72">
            <v>83.58</v>
          </cell>
          <cell r="Y72">
            <v>83.57</v>
          </cell>
          <cell r="Z72">
            <v>83.56</v>
          </cell>
          <cell r="AM72">
            <v>0</v>
          </cell>
          <cell r="BE72">
            <v>47.12</v>
          </cell>
          <cell r="BF72">
            <v>47.33</v>
          </cell>
          <cell r="BG72">
            <v>47.35</v>
          </cell>
          <cell r="BH72">
            <v>47.17</v>
          </cell>
        </row>
        <row r="73">
          <cell r="A73" t="str">
            <v>SI1673_20260123</v>
          </cell>
          <cell r="B73" t="str">
            <v>장세래</v>
          </cell>
          <cell r="C73">
            <v>46045</v>
          </cell>
          <cell r="D73" t="str">
            <v>미니슬림쿠션 하케이스 사출</v>
          </cell>
          <cell r="E73" t="str">
            <v>외경</v>
          </cell>
          <cell r="F73">
            <v>65.14</v>
          </cell>
          <cell r="V73" t="str">
            <v>A</v>
          </cell>
          <cell r="AM73" t="str">
            <v>C</v>
          </cell>
          <cell r="AN73">
            <v>12.13</v>
          </cell>
          <cell r="BD73">
            <v>7.2</v>
          </cell>
          <cell r="BE73">
            <v>5.25</v>
          </cell>
        </row>
        <row r="74">
          <cell r="A74" t="str">
            <v>SI1672_20260123</v>
          </cell>
          <cell r="B74" t="str">
            <v>장세래</v>
          </cell>
          <cell r="C74">
            <v>46045</v>
          </cell>
          <cell r="D74" t="str">
            <v>미니슬림쿠션 상케이스 사출</v>
          </cell>
          <cell r="E74" t="str">
            <v>외경</v>
          </cell>
          <cell r="F74">
            <v>65.17</v>
          </cell>
          <cell r="V74" t="str">
            <v>A</v>
          </cell>
          <cell r="AM74" t="str">
            <v>C</v>
          </cell>
          <cell r="AN74">
            <v>12.1</v>
          </cell>
          <cell r="BD74">
            <v>4.5</v>
          </cell>
          <cell r="BE74">
            <v>8.8000000000000007</v>
          </cell>
        </row>
        <row r="75">
          <cell r="A75" t="str">
            <v>SI1675_20260123</v>
          </cell>
          <cell r="B75" t="str">
            <v>장세래</v>
          </cell>
          <cell r="C75">
            <v>46045</v>
          </cell>
          <cell r="D75" t="str">
            <v>미니슬림쿠션 중용기 덮개 사출</v>
          </cell>
          <cell r="E75" t="str">
            <v>외경</v>
          </cell>
          <cell r="F75">
            <v>54.7</v>
          </cell>
          <cell r="H75">
            <v>54.75</v>
          </cell>
          <cell r="J75">
            <v>54.81</v>
          </cell>
          <cell r="V75" t="str">
            <v>A</v>
          </cell>
          <cell r="W75">
            <v>48.81</v>
          </cell>
          <cell r="Y75">
            <v>48.84</v>
          </cell>
          <cell r="AA75">
            <v>48.88</v>
          </cell>
          <cell r="AM75" t="str">
            <v>외고</v>
          </cell>
          <cell r="BE75">
            <v>3.53</v>
          </cell>
          <cell r="BG75">
            <v>3.58</v>
          </cell>
        </row>
        <row r="76">
          <cell r="A76" t="str">
            <v>SI1625_20260123</v>
          </cell>
          <cell r="B76" t="str">
            <v>한창구</v>
          </cell>
          <cell r="C76">
            <v>46045</v>
          </cell>
          <cell r="D76" t="str">
            <v>설화수 진설명작크림 (견) 10ML (AD 외캡</v>
          </cell>
          <cell r="E76" t="str">
            <v>내경</v>
          </cell>
          <cell r="V76" t="str">
            <v>외경</v>
          </cell>
          <cell r="W76">
            <v>58.36</v>
          </cell>
          <cell r="X76">
            <v>58.37</v>
          </cell>
          <cell r="Y76">
            <v>58.35</v>
          </cell>
          <cell r="Z76">
            <v>58.36</v>
          </cell>
          <cell r="AM76" t="str">
            <v>언더컷</v>
          </cell>
          <cell r="AN76">
            <v>50.4</v>
          </cell>
          <cell r="AO76">
            <v>50.37</v>
          </cell>
          <cell r="AP76">
            <v>50.41</v>
          </cell>
          <cell r="AQ76">
            <v>50.38</v>
          </cell>
          <cell r="BE76">
            <v>20.34</v>
          </cell>
          <cell r="BF76">
            <v>20.329999999999998</v>
          </cell>
          <cell r="BG76">
            <v>20.38</v>
          </cell>
          <cell r="BH76">
            <v>20.34</v>
          </cell>
        </row>
        <row r="77">
          <cell r="A77" t="str">
            <v>SI1627_20260120</v>
          </cell>
          <cell r="B77">
            <v>0</v>
          </cell>
          <cell r="C77">
            <v>0</v>
          </cell>
          <cell r="D77" t="str">
            <v>설화수 진설명작크림 (견) 10ML (AD 용기받침</v>
          </cell>
          <cell r="E77" t="str">
            <v>내경</v>
          </cell>
          <cell r="V77" t="str">
            <v>언더컷</v>
          </cell>
          <cell r="W77">
            <v>44.12</v>
          </cell>
          <cell r="X77">
            <v>44.14</v>
          </cell>
          <cell r="Y77">
            <v>44.13</v>
          </cell>
          <cell r="Z77">
            <v>44.15</v>
          </cell>
          <cell r="AM77" t="str">
            <v>외경</v>
          </cell>
          <cell r="AN77">
            <v>59.8</v>
          </cell>
          <cell r="AO77">
            <v>59.83</v>
          </cell>
          <cell r="AP77">
            <v>59.84</v>
          </cell>
          <cell r="AQ77">
            <v>59.83</v>
          </cell>
          <cell r="BE77">
            <v>9.17</v>
          </cell>
          <cell r="BF77">
            <v>9.18</v>
          </cell>
          <cell r="BG77">
            <v>9.1999999999999993</v>
          </cell>
          <cell r="BH77">
            <v>9.18</v>
          </cell>
        </row>
        <row r="78">
          <cell r="A78" t="str">
            <v>SI1614_20260116</v>
          </cell>
          <cell r="B78" t="str">
            <v>한창구</v>
          </cell>
          <cell r="C78">
            <v>46038</v>
          </cell>
          <cell r="D78" t="str">
            <v>설화수 진설명작크림 60ML (26AD 내캡</v>
          </cell>
          <cell r="E78" t="str">
            <v>키잡이</v>
          </cell>
          <cell r="F78">
            <v>82.62</v>
          </cell>
          <cell r="G78">
            <v>82.6</v>
          </cell>
          <cell r="V78" t="str">
            <v>언더컷</v>
          </cell>
          <cell r="W78">
            <v>81.650000000000006</v>
          </cell>
          <cell r="X78">
            <v>81.66</v>
          </cell>
          <cell r="AM78" t="str">
            <v>언더컷2</v>
          </cell>
          <cell r="BE78">
            <v>24.51</v>
          </cell>
          <cell r="BF78">
            <v>24.48</v>
          </cell>
        </row>
        <row r="79">
          <cell r="A79" t="str">
            <v>SI1674_20260113</v>
          </cell>
          <cell r="B79">
            <v>0</v>
          </cell>
          <cell r="C79">
            <v>46035</v>
          </cell>
          <cell r="D79" t="str">
            <v>미니슬림쿠션 접시 사출</v>
          </cell>
          <cell r="E79" t="str">
            <v>외경</v>
          </cell>
          <cell r="F79">
            <v>53.35</v>
          </cell>
          <cell r="V79" t="str">
            <v>언더컷</v>
          </cell>
          <cell r="W79">
            <v>52.72</v>
          </cell>
          <cell r="AM79" t="str">
            <v>내고</v>
          </cell>
          <cell r="BE79">
            <v>3.71</v>
          </cell>
        </row>
        <row r="80">
          <cell r="A80" t="str">
            <v>SI1673_20260113</v>
          </cell>
          <cell r="B80">
            <v>0</v>
          </cell>
          <cell r="C80">
            <v>46035</v>
          </cell>
          <cell r="D80" t="str">
            <v>미니슬림쿠션 하케이스 사출</v>
          </cell>
          <cell r="E80" t="str">
            <v>외경</v>
          </cell>
          <cell r="F80">
            <v>65.12</v>
          </cell>
          <cell r="V80" t="str">
            <v>A</v>
          </cell>
          <cell r="AM80" t="str">
            <v>C</v>
          </cell>
          <cell r="BD80">
            <v>4.5</v>
          </cell>
          <cell r="BE80">
            <v>5.19</v>
          </cell>
        </row>
        <row r="81">
          <cell r="A81" t="str">
            <v>SI1672_20260113</v>
          </cell>
          <cell r="B81">
            <v>0</v>
          </cell>
          <cell r="C81">
            <v>46035</v>
          </cell>
          <cell r="D81" t="str">
            <v>미니슬림쿠션 상케이스 사출</v>
          </cell>
          <cell r="E81" t="str">
            <v>외경</v>
          </cell>
          <cell r="F81">
            <v>65.08</v>
          </cell>
          <cell r="V81" t="str">
            <v>A</v>
          </cell>
          <cell r="AM81" t="str">
            <v>C</v>
          </cell>
          <cell r="BD81">
            <v>7.24</v>
          </cell>
          <cell r="BE81">
            <v>8.65</v>
          </cell>
        </row>
        <row r="82">
          <cell r="A82" t="str">
            <v>SI1669_20251218</v>
          </cell>
          <cell r="B82" t="str">
            <v>한창구</v>
          </cell>
          <cell r="C82">
            <v>46009</v>
          </cell>
          <cell r="D82" t="str">
            <v>마몽드 어메이징딥 민트클렌징밤 90ml(26AD 스파출러대 사출</v>
          </cell>
          <cell r="E82" t="str">
            <v>내경</v>
          </cell>
          <cell r="V82" t="str">
            <v>외경</v>
          </cell>
          <cell r="W82">
            <v>61.03</v>
          </cell>
          <cell r="X82">
            <v>61.06</v>
          </cell>
          <cell r="Y82">
            <v>61.07</v>
          </cell>
          <cell r="Z82">
            <v>61.08</v>
          </cell>
          <cell r="AM82">
            <v>0</v>
          </cell>
          <cell r="BE82">
            <v>4.09</v>
          </cell>
          <cell r="BF82">
            <v>4.0999999999999996</v>
          </cell>
          <cell r="BG82">
            <v>4.09</v>
          </cell>
          <cell r="BH82">
            <v>4.1100000000000003</v>
          </cell>
        </row>
        <row r="83">
          <cell r="A83" t="str">
            <v>SI1669_20260113</v>
          </cell>
          <cell r="B83" t="str">
            <v>남기갑</v>
          </cell>
          <cell r="C83">
            <v>46035</v>
          </cell>
          <cell r="D83" t="str">
            <v>마몽드 어메이징딥 민트클렌징밤 90ml(26AD 스파출러대 사출</v>
          </cell>
          <cell r="E83" t="str">
            <v>내경</v>
          </cell>
          <cell r="V83" t="str">
            <v>외경</v>
          </cell>
          <cell r="W83">
            <v>60.96</v>
          </cell>
          <cell r="X83">
            <v>60.92</v>
          </cell>
          <cell r="Y83">
            <v>60.86</v>
          </cell>
          <cell r="Z83">
            <v>60.94</v>
          </cell>
          <cell r="AM83">
            <v>0</v>
          </cell>
          <cell r="BE83">
            <v>3.99</v>
          </cell>
          <cell r="BF83">
            <v>4.01</v>
          </cell>
          <cell r="BG83">
            <v>4</v>
          </cell>
          <cell r="BH83">
            <v>4.0199999999999996</v>
          </cell>
        </row>
        <row r="84">
          <cell r="A84" t="str">
            <v>SI1668_20260112</v>
          </cell>
          <cell r="B84" t="str">
            <v>유재호</v>
          </cell>
          <cell r="C84">
            <v>46034</v>
          </cell>
          <cell r="D84" t="str">
            <v>마몽드 어메이징딥 민트클렌징밤 90ml(26AD 원터치단캡 사출</v>
          </cell>
          <cell r="E84" t="str">
            <v>내경</v>
          </cell>
          <cell r="F84">
            <v>84.1</v>
          </cell>
          <cell r="G84">
            <v>84.12</v>
          </cell>
          <cell r="H84">
            <v>84.1</v>
          </cell>
          <cell r="I84">
            <v>84.11</v>
          </cell>
          <cell r="V84" t="str">
            <v>나사경</v>
          </cell>
          <cell r="W84">
            <v>82.16</v>
          </cell>
          <cell r="X84">
            <v>82.15</v>
          </cell>
          <cell r="Y84">
            <v>82.16</v>
          </cell>
          <cell r="Z84">
            <v>82.17</v>
          </cell>
          <cell r="AM84" t="str">
            <v>언더컷</v>
          </cell>
          <cell r="BD84">
            <v>31.51</v>
          </cell>
          <cell r="BE84">
            <v>18.38</v>
          </cell>
          <cell r="BF84">
            <v>18.38</v>
          </cell>
          <cell r="BG84">
            <v>18.32</v>
          </cell>
          <cell r="BH84">
            <v>18.38</v>
          </cell>
        </row>
        <row r="85">
          <cell r="A85" t="str">
            <v>SI1671_20260112</v>
          </cell>
          <cell r="B85" t="str">
            <v>장세래</v>
          </cell>
          <cell r="C85">
            <v>46034</v>
          </cell>
          <cell r="D85" t="str">
            <v>마몽드 어메이징딥 민트클렌징밤 90ml(26AD 단용기 사출</v>
          </cell>
          <cell r="E85" t="str">
            <v>외경</v>
          </cell>
          <cell r="F85">
            <v>88.18</v>
          </cell>
          <cell r="G85">
            <v>88.17</v>
          </cell>
          <cell r="H85">
            <v>88.18</v>
          </cell>
          <cell r="I85">
            <v>88.18</v>
          </cell>
          <cell r="V85" t="str">
            <v>나사경</v>
          </cell>
          <cell r="W85">
            <v>83.59</v>
          </cell>
          <cell r="X85">
            <v>83.53</v>
          </cell>
          <cell r="Y85">
            <v>83.52</v>
          </cell>
          <cell r="Z85">
            <v>83.53</v>
          </cell>
          <cell r="AM85">
            <v>0</v>
          </cell>
          <cell r="BE85">
            <v>46.7</v>
          </cell>
          <cell r="BF85">
            <v>46.55</v>
          </cell>
          <cell r="BG85">
            <v>46.73</v>
          </cell>
          <cell r="BH85">
            <v>46.6</v>
          </cell>
        </row>
        <row r="86">
          <cell r="A86" t="str">
            <v>SI1661_20251225</v>
          </cell>
          <cell r="B86" t="str">
            <v>장세래</v>
          </cell>
          <cell r="C86">
            <v>46016</v>
          </cell>
          <cell r="D86" t="str">
            <v>해피바스 달잠 밀키라벤더 바디로션500g+괄사단품기획(OY 마사져대</v>
          </cell>
          <cell r="BE86">
            <v>88.53</v>
          </cell>
          <cell r="BF86">
            <v>88.46</v>
          </cell>
        </row>
        <row r="87">
          <cell r="A87" t="str">
            <v>SI1626_20251223</v>
          </cell>
          <cell r="B87" t="str">
            <v>유재호</v>
          </cell>
          <cell r="C87">
            <v>46014</v>
          </cell>
          <cell r="D87" t="str">
            <v>설화수 진설명작크림 (견) 10ML (AD 내캡</v>
          </cell>
          <cell r="E87" t="str">
            <v>내경</v>
          </cell>
          <cell r="V87" t="str">
            <v>외경</v>
          </cell>
          <cell r="W87">
            <v>51.83</v>
          </cell>
          <cell r="X87">
            <v>51.85</v>
          </cell>
          <cell r="Y87">
            <v>51.86</v>
          </cell>
          <cell r="Z87">
            <v>51.84</v>
          </cell>
          <cell r="AM87" t="str">
            <v>키잡이</v>
          </cell>
          <cell r="AN87">
            <v>51.23</v>
          </cell>
          <cell r="AO87">
            <v>51.24</v>
          </cell>
          <cell r="AP87">
            <v>51.24</v>
          </cell>
          <cell r="AQ87">
            <v>51.23</v>
          </cell>
          <cell r="BD87">
            <v>19.09</v>
          </cell>
          <cell r="BE87">
            <v>7.65</v>
          </cell>
          <cell r="BF87">
            <v>7.63</v>
          </cell>
          <cell r="BG87">
            <v>7.66</v>
          </cell>
          <cell r="BH87">
            <v>7.58</v>
          </cell>
        </row>
        <row r="88">
          <cell r="A88" t="str">
            <v>SI1631_20251223</v>
          </cell>
          <cell r="B88" t="str">
            <v>유재호</v>
          </cell>
          <cell r="C88">
            <v>46014</v>
          </cell>
          <cell r="D88" t="str">
            <v>설화수 진설명작크림 (견) 10ML (AD 내캡</v>
          </cell>
          <cell r="E88" t="str">
            <v>내경</v>
          </cell>
          <cell r="F88">
            <v>34.83</v>
          </cell>
          <cell r="G88">
            <v>34.840000000000003</v>
          </cell>
          <cell r="H88">
            <v>34.840000000000003</v>
          </cell>
          <cell r="I88">
            <v>34.83</v>
          </cell>
          <cell r="V88" t="str">
            <v>외경</v>
          </cell>
          <cell r="W88">
            <v>41.48</v>
          </cell>
          <cell r="X88">
            <v>41.49</v>
          </cell>
          <cell r="Y88">
            <v>41.49</v>
          </cell>
          <cell r="Z88">
            <v>41.47</v>
          </cell>
          <cell r="AM88" t="str">
            <v>키잡이</v>
          </cell>
          <cell r="BD88">
            <v>19</v>
          </cell>
          <cell r="BE88">
            <v>4.92</v>
          </cell>
          <cell r="BF88">
            <v>4.96</v>
          </cell>
          <cell r="BG88">
            <v>4.91</v>
          </cell>
          <cell r="BH88">
            <v>4.91</v>
          </cell>
        </row>
        <row r="89">
          <cell r="A89" t="str">
            <v>SI1671_20251222</v>
          </cell>
          <cell r="B89" t="str">
            <v>장세래</v>
          </cell>
          <cell r="C89">
            <v>46013</v>
          </cell>
          <cell r="D89" t="str">
            <v>마몽드 어메이징딥 민트클렌징밤 90ml(26AD 단용기 사출</v>
          </cell>
          <cell r="E89" t="str">
            <v>외경</v>
          </cell>
          <cell r="F89">
            <v>88.33</v>
          </cell>
          <cell r="G89">
            <v>88.3</v>
          </cell>
          <cell r="H89">
            <v>88.34</v>
          </cell>
          <cell r="I89">
            <v>88.23</v>
          </cell>
          <cell r="V89" t="str">
            <v>나사경</v>
          </cell>
          <cell r="W89">
            <v>83.65</v>
          </cell>
          <cell r="X89">
            <v>83.68</v>
          </cell>
          <cell r="Y89">
            <v>83.68</v>
          </cell>
          <cell r="Z89">
            <v>83.7</v>
          </cell>
          <cell r="AM89">
            <v>0</v>
          </cell>
          <cell r="BE89">
            <v>47.11</v>
          </cell>
          <cell r="BF89">
            <v>47</v>
          </cell>
          <cell r="BG89">
            <v>47.1</v>
          </cell>
          <cell r="BH89">
            <v>46.99</v>
          </cell>
        </row>
        <row r="90">
          <cell r="A90" t="str">
            <v>SI1670_20251218</v>
          </cell>
          <cell r="B90" t="str">
            <v>유재호</v>
          </cell>
          <cell r="C90">
            <v>46009</v>
          </cell>
          <cell r="D90" t="str">
            <v>마몽드 어메이징딥 민트클렌징밤 90ml(26AD 사출덮개 사출</v>
          </cell>
          <cell r="E90" t="str">
            <v>외경</v>
          </cell>
          <cell r="F90">
            <v>79.459999999999994</v>
          </cell>
          <cell r="G90">
            <v>79.459999999999994</v>
          </cell>
          <cell r="H90">
            <v>79.47</v>
          </cell>
          <cell r="I90">
            <v>79.459999999999994</v>
          </cell>
          <cell r="V90" t="str">
            <v>내경</v>
          </cell>
          <cell r="W90">
            <v>77.2</v>
          </cell>
          <cell r="X90">
            <v>77.209999999999994</v>
          </cell>
          <cell r="Y90">
            <v>77.209999999999994</v>
          </cell>
          <cell r="Z90">
            <v>77.2</v>
          </cell>
          <cell r="AM90">
            <v>0</v>
          </cell>
          <cell r="BD90">
            <v>14.58</v>
          </cell>
          <cell r="BE90">
            <v>6.43</v>
          </cell>
          <cell r="BF90">
            <v>6.6</v>
          </cell>
          <cell r="BG90">
            <v>6.45</v>
          </cell>
          <cell r="BH90">
            <v>6.45</v>
          </cell>
        </row>
        <row r="91">
          <cell r="A91" t="str">
            <v>SI1616_20251215</v>
          </cell>
          <cell r="B91">
            <v>0</v>
          </cell>
          <cell r="C91">
            <v>46006</v>
          </cell>
          <cell r="D91" t="str">
            <v>설화수 진설명작크림 60ML (26AD 사출덮개</v>
          </cell>
          <cell r="E91" t="str">
            <v>A</v>
          </cell>
          <cell r="V91" t="str">
            <v>외경</v>
          </cell>
          <cell r="W91">
            <v>63.21</v>
          </cell>
          <cell r="X91">
            <v>63.23</v>
          </cell>
          <cell r="AM91" t="str">
            <v>내경</v>
          </cell>
          <cell r="BE91">
            <v>6.02</v>
          </cell>
          <cell r="BF91">
            <v>6.05</v>
          </cell>
        </row>
        <row r="92">
          <cell r="A92" t="str">
            <v>SI1669_20251209</v>
          </cell>
          <cell r="B92" t="str">
            <v>장세래</v>
          </cell>
          <cell r="C92">
            <v>46000</v>
          </cell>
          <cell r="D92" t="str">
            <v>마몽드 어메이징딥 민트클렌징밤 90ml(26AD 스파출러대 사출</v>
          </cell>
          <cell r="E92" t="str">
            <v>내경</v>
          </cell>
          <cell r="F92">
            <v>7.77</v>
          </cell>
          <cell r="G92">
            <v>7.75</v>
          </cell>
          <cell r="H92">
            <v>7.77</v>
          </cell>
          <cell r="I92">
            <v>7.76</v>
          </cell>
          <cell r="V92" t="str">
            <v>외경</v>
          </cell>
          <cell r="W92">
            <v>60.85</v>
          </cell>
          <cell r="X92">
            <v>60.91</v>
          </cell>
          <cell r="Y92">
            <v>60.94</v>
          </cell>
          <cell r="Z92">
            <v>60.96</v>
          </cell>
          <cell r="AM92">
            <v>0</v>
          </cell>
          <cell r="BD92">
            <v>10.44</v>
          </cell>
          <cell r="BE92">
            <v>4.07</v>
          </cell>
          <cell r="BF92">
            <v>4.07</v>
          </cell>
          <cell r="BG92">
            <v>4.09</v>
          </cell>
          <cell r="BH92">
            <v>4.09</v>
          </cell>
        </row>
        <row r="93">
          <cell r="A93" t="str">
            <v>SI1670_20251205</v>
          </cell>
          <cell r="B93" t="str">
            <v>유재호</v>
          </cell>
          <cell r="C93">
            <v>45996</v>
          </cell>
          <cell r="D93" t="str">
            <v>마몽드 어메이징딥 민트클렌징밤 90ml(26AD 사출덮개 사출</v>
          </cell>
          <cell r="E93" t="str">
            <v>외경</v>
          </cell>
          <cell r="F93">
            <v>79.430000000000007</v>
          </cell>
          <cell r="G93">
            <v>79.44</v>
          </cell>
          <cell r="H93">
            <v>79.430000000000007</v>
          </cell>
          <cell r="I93">
            <v>79.42</v>
          </cell>
          <cell r="V93" t="str">
            <v>내경</v>
          </cell>
          <cell r="W93">
            <v>77.209999999999994</v>
          </cell>
          <cell r="X93">
            <v>77.22</v>
          </cell>
          <cell r="Y93">
            <v>77.22</v>
          </cell>
          <cell r="Z93">
            <v>77.209999999999994</v>
          </cell>
          <cell r="AM93">
            <v>0</v>
          </cell>
          <cell r="BD93">
            <v>14.92</v>
          </cell>
          <cell r="BE93">
            <v>6.22</v>
          </cell>
          <cell r="BF93">
            <v>6.27</v>
          </cell>
          <cell r="BG93">
            <v>6.28</v>
          </cell>
          <cell r="BH93">
            <v>6.28</v>
          </cell>
        </row>
        <row r="94">
          <cell r="A94" t="str">
            <v>SI1671_20251203</v>
          </cell>
          <cell r="B94" t="str">
            <v>장세래</v>
          </cell>
          <cell r="C94">
            <v>45994</v>
          </cell>
          <cell r="D94" t="str">
            <v>마몽드 어메이징딥 민트클렌징밤 90ml(26AD 단용기 사출</v>
          </cell>
          <cell r="E94" t="str">
            <v>외경</v>
          </cell>
          <cell r="F94">
            <v>88.31</v>
          </cell>
          <cell r="G94">
            <v>88.36</v>
          </cell>
          <cell r="H94">
            <v>88.35</v>
          </cell>
          <cell r="I94">
            <v>88.33</v>
          </cell>
          <cell r="V94" t="str">
            <v>나사경</v>
          </cell>
          <cell r="W94">
            <v>83.43</v>
          </cell>
          <cell r="X94">
            <v>83.46</v>
          </cell>
          <cell r="Y94">
            <v>83.37</v>
          </cell>
          <cell r="Z94">
            <v>83.44</v>
          </cell>
          <cell r="AM94">
            <v>0</v>
          </cell>
          <cell r="BE94">
            <v>46.18</v>
          </cell>
          <cell r="BF94">
            <v>46.5</v>
          </cell>
          <cell r="BG94">
            <v>46.48</v>
          </cell>
          <cell r="BH94">
            <v>46.19</v>
          </cell>
        </row>
        <row r="95">
          <cell r="A95" t="str">
            <v>SI1668_20251203</v>
          </cell>
          <cell r="B95" t="str">
            <v>장세래</v>
          </cell>
          <cell r="C95">
            <v>45994</v>
          </cell>
          <cell r="D95" t="str">
            <v>마몽드 어메이징딥 민트클렌징밤 90ml(26AD 원터치단캡 사출</v>
          </cell>
          <cell r="E95" t="str">
            <v>내경</v>
          </cell>
          <cell r="F95">
            <v>84.07</v>
          </cell>
          <cell r="G95">
            <v>84.14</v>
          </cell>
          <cell r="H95">
            <v>84.13</v>
          </cell>
          <cell r="I95">
            <v>84.07</v>
          </cell>
          <cell r="V95" t="str">
            <v>나사경</v>
          </cell>
          <cell r="W95">
            <v>82.14</v>
          </cell>
          <cell r="X95">
            <v>82.18</v>
          </cell>
          <cell r="Y95">
            <v>82.18</v>
          </cell>
          <cell r="Z95">
            <v>82.16</v>
          </cell>
          <cell r="AM95" t="str">
            <v>언더컷</v>
          </cell>
          <cell r="BD95">
            <v>29.55</v>
          </cell>
          <cell r="BE95">
            <v>18.190000000000001</v>
          </cell>
          <cell r="BF95">
            <v>18.28</v>
          </cell>
          <cell r="BG95">
            <v>18.21</v>
          </cell>
          <cell r="BH95">
            <v>18.260000000000002</v>
          </cell>
        </row>
        <row r="96">
          <cell r="A96" t="str">
            <v>SI1669_20251124</v>
          </cell>
          <cell r="B96" t="str">
            <v>유재호</v>
          </cell>
          <cell r="C96">
            <v>45985</v>
          </cell>
          <cell r="D96" t="str">
            <v>마몽드 어메이징딥 민트클렌징밤 90ml(26AD 스파출러대 사출</v>
          </cell>
          <cell r="E96" t="str">
            <v>내경</v>
          </cell>
          <cell r="V96" t="str">
            <v>외경</v>
          </cell>
          <cell r="AM96">
            <v>0</v>
          </cell>
          <cell r="BD96">
            <v>10.06</v>
          </cell>
          <cell r="BE96">
            <v>3.98</v>
          </cell>
          <cell r="BF96">
            <v>4.1100000000000003</v>
          </cell>
          <cell r="BG96">
            <v>4</v>
          </cell>
          <cell r="BH96">
            <v>4.1100000000000003</v>
          </cell>
        </row>
        <row r="97">
          <cell r="A97" t="str">
            <v>SI1617_20251121</v>
          </cell>
          <cell r="B97" t="str">
            <v>장세래</v>
          </cell>
          <cell r="C97">
            <v>45982</v>
          </cell>
          <cell r="D97" t="str">
            <v>설화수 진설명작크림 60ML (26AD 중용기</v>
          </cell>
          <cell r="E97" t="str">
            <v>외경</v>
          </cell>
          <cell r="F97">
            <v>64.739999999999995</v>
          </cell>
          <cell r="G97">
            <v>64.73</v>
          </cell>
          <cell r="V97" t="str">
            <v>내경</v>
          </cell>
          <cell r="W97">
            <v>61.76</v>
          </cell>
          <cell r="X97">
            <v>61.74</v>
          </cell>
          <cell r="AM97" t="str">
            <v>언더컷</v>
          </cell>
          <cell r="BD97">
            <v>6.73</v>
          </cell>
          <cell r="BE97">
            <v>12.46</v>
          </cell>
          <cell r="BF97">
            <v>12.46</v>
          </cell>
        </row>
        <row r="98">
          <cell r="A98" t="str">
            <v>SI1620_20251121</v>
          </cell>
          <cell r="B98" t="str">
            <v>장세래</v>
          </cell>
          <cell r="C98">
            <v>45982</v>
          </cell>
          <cell r="D98" t="str">
            <v>설화수 진설명작크림 60ML (26AD 용기받침 사출</v>
          </cell>
          <cell r="E98" t="str">
            <v>외경</v>
          </cell>
          <cell r="F98">
            <v>90.46</v>
          </cell>
          <cell r="G98">
            <v>90.47</v>
          </cell>
          <cell r="V98" t="str">
            <v>언더컷</v>
          </cell>
          <cell r="W98">
            <v>76.260000000000005</v>
          </cell>
          <cell r="X98">
            <v>76.239999999999995</v>
          </cell>
          <cell r="AM98">
            <v>0</v>
          </cell>
          <cell r="BD98">
            <v>7.52</v>
          </cell>
          <cell r="BE98">
            <v>20.55</v>
          </cell>
          <cell r="BF98">
            <v>20.51</v>
          </cell>
        </row>
        <row r="99">
          <cell r="A99" t="str">
            <v>SI1628_20251121</v>
          </cell>
          <cell r="B99" t="str">
            <v>이종운</v>
          </cell>
          <cell r="C99">
            <v>45982</v>
          </cell>
          <cell r="D99" t="str">
            <v>설화수 진설명작크림 (견) 10ML (AD 단용기</v>
          </cell>
          <cell r="E99" t="str">
            <v>나사경</v>
          </cell>
          <cell r="F99">
            <v>46.57</v>
          </cell>
          <cell r="G99">
            <v>46.57</v>
          </cell>
          <cell r="H99">
            <v>46.56</v>
          </cell>
          <cell r="I99">
            <v>46.56</v>
          </cell>
          <cell r="V99" t="str">
            <v>외경</v>
          </cell>
          <cell r="W99">
            <v>46.95</v>
          </cell>
          <cell r="X99">
            <v>46.95</v>
          </cell>
          <cell r="Y99">
            <v>46.95</v>
          </cell>
          <cell r="Z99">
            <v>46.93</v>
          </cell>
          <cell r="AM99" t="str">
            <v>언더컷</v>
          </cell>
          <cell r="AN99">
            <v>45.17</v>
          </cell>
          <cell r="AO99">
            <v>45.18</v>
          </cell>
          <cell r="AP99">
            <v>45.17</v>
          </cell>
          <cell r="AQ99">
            <v>45.18</v>
          </cell>
          <cell r="BE99">
            <v>8.73</v>
          </cell>
          <cell r="BF99">
            <v>8.76</v>
          </cell>
          <cell r="BG99">
            <v>8.75</v>
          </cell>
          <cell r="BH99">
            <v>8.75</v>
          </cell>
        </row>
        <row r="100">
          <cell r="A100" t="str">
            <v>SI1632_20251121</v>
          </cell>
          <cell r="B100" t="str">
            <v>이종운</v>
          </cell>
          <cell r="C100">
            <v>45982</v>
          </cell>
          <cell r="D100" t="str">
            <v>설화수 진설명작크림 (견) 5ML (AD 단용기</v>
          </cell>
          <cell r="E100" t="str">
            <v>나사경</v>
          </cell>
          <cell r="F100">
            <v>36.03</v>
          </cell>
          <cell r="G100">
            <v>36.04</v>
          </cell>
          <cell r="H100">
            <v>36.04</v>
          </cell>
          <cell r="I100">
            <v>36.04</v>
          </cell>
          <cell r="V100" t="str">
            <v>외경</v>
          </cell>
          <cell r="W100">
            <v>36.25</v>
          </cell>
          <cell r="X100">
            <v>36.29</v>
          </cell>
          <cell r="Y100">
            <v>36.270000000000003</v>
          </cell>
          <cell r="Z100">
            <v>36.26</v>
          </cell>
          <cell r="AM100" t="str">
            <v>언더컷</v>
          </cell>
          <cell r="AN100">
            <v>34.64</v>
          </cell>
          <cell r="AO100">
            <v>36.69</v>
          </cell>
          <cell r="AP100">
            <v>34.69</v>
          </cell>
          <cell r="AQ100">
            <v>34.67</v>
          </cell>
          <cell r="BE100">
            <v>5.25</v>
          </cell>
          <cell r="BF100">
            <v>5.29</v>
          </cell>
          <cell r="BG100">
            <v>5.26</v>
          </cell>
          <cell r="BH100">
            <v>5.26</v>
          </cell>
        </row>
        <row r="101">
          <cell r="A101" t="str">
            <v>SI1618_20251119</v>
          </cell>
          <cell r="B101" t="str">
            <v>한창구</v>
          </cell>
          <cell r="C101">
            <v>45980</v>
          </cell>
          <cell r="D101" t="str">
            <v>설화수 진설명작크림 60ML (26AD 내용기</v>
          </cell>
          <cell r="E101" t="str">
            <v>언더컷</v>
          </cell>
          <cell r="F101">
            <v>62.24</v>
          </cell>
          <cell r="G101">
            <v>62.22</v>
          </cell>
          <cell r="V101" t="str">
            <v>언더컷2</v>
          </cell>
          <cell r="AM101" t="str">
            <v>내경</v>
          </cell>
          <cell r="AN101">
            <v>63.88</v>
          </cell>
          <cell r="AO101">
            <v>63.9</v>
          </cell>
          <cell r="BE101">
            <v>13.36</v>
          </cell>
          <cell r="BF101">
            <v>13.33</v>
          </cell>
        </row>
        <row r="102">
          <cell r="A102" t="str">
            <v>SI1614_20251119</v>
          </cell>
          <cell r="B102" t="str">
            <v>한창구</v>
          </cell>
          <cell r="C102">
            <v>45980</v>
          </cell>
          <cell r="D102" t="str">
            <v>설화수 진설명작크림 60ML (26AD 내캡</v>
          </cell>
          <cell r="E102" t="str">
            <v>키잡이</v>
          </cell>
          <cell r="F102">
            <v>82.62</v>
          </cell>
          <cell r="G102">
            <v>82.61</v>
          </cell>
          <cell r="V102" t="str">
            <v>언더컷</v>
          </cell>
          <cell r="W102">
            <v>81.22</v>
          </cell>
          <cell r="X102">
            <v>81.25</v>
          </cell>
          <cell r="AM102" t="str">
            <v>언더컷2</v>
          </cell>
          <cell r="BE102">
            <v>23.76</v>
          </cell>
          <cell r="BF102">
            <v>23.81</v>
          </cell>
        </row>
        <row r="103">
          <cell r="A103" t="str">
            <v>SI1653_20251114</v>
          </cell>
          <cell r="B103" t="str">
            <v>유재호</v>
          </cell>
          <cell r="C103">
            <v>45975</v>
          </cell>
          <cell r="D103" t="str">
            <v>홀리추얼 울트라 너리싱 아이크림 30ML 중캡</v>
          </cell>
          <cell r="E103" t="str">
            <v>외경</v>
          </cell>
          <cell r="F103">
            <v>21.38</v>
          </cell>
          <cell r="G103">
            <v>21.37</v>
          </cell>
          <cell r="V103" t="str">
            <v>언더컷</v>
          </cell>
          <cell r="W103">
            <v>17.989999999999998</v>
          </cell>
          <cell r="X103">
            <v>18.010000000000002</v>
          </cell>
          <cell r="AM103">
            <v>0</v>
          </cell>
          <cell r="BD103">
            <v>12.62</v>
          </cell>
          <cell r="BE103">
            <v>1.33</v>
          </cell>
          <cell r="BF103">
            <v>1.32</v>
          </cell>
        </row>
        <row r="104">
          <cell r="A104" t="str">
            <v>SI1654_20251111</v>
          </cell>
          <cell r="B104">
            <v>0</v>
          </cell>
          <cell r="C104">
            <v>45972</v>
          </cell>
          <cell r="D104" t="str">
            <v>홀리추얼 울트라 너리싱 아이크림 30ML 내캡</v>
          </cell>
          <cell r="E104" t="str">
            <v>외경</v>
          </cell>
          <cell r="F104">
            <v>17.690000000000001</v>
          </cell>
          <cell r="G104">
            <v>17.690000000000001</v>
          </cell>
          <cell r="H104">
            <v>17.7</v>
          </cell>
          <cell r="I104">
            <v>17.690000000000001</v>
          </cell>
          <cell r="V104" t="str">
            <v>언더컷</v>
          </cell>
          <cell r="W104">
            <v>16.899999999999999</v>
          </cell>
          <cell r="X104">
            <v>16.91</v>
          </cell>
          <cell r="Y104">
            <v>16.899999999999999</v>
          </cell>
          <cell r="Z104">
            <v>16.899999999999999</v>
          </cell>
          <cell r="AM104" t="str">
            <v>나사경</v>
          </cell>
          <cell r="AN104">
            <v>12.43</v>
          </cell>
          <cell r="AO104">
            <v>12.42</v>
          </cell>
          <cell r="AP104">
            <v>12.4</v>
          </cell>
          <cell r="AQ104">
            <v>12.41</v>
          </cell>
          <cell r="BD104">
            <v>14.86</v>
          </cell>
          <cell r="BE104">
            <v>2.0699999999999998</v>
          </cell>
          <cell r="BF104">
            <v>2.0699999999999998</v>
          </cell>
          <cell r="BG104">
            <v>2.08</v>
          </cell>
          <cell r="BH104">
            <v>2.08</v>
          </cell>
        </row>
        <row r="105">
          <cell r="A105" t="str">
            <v>SI1622_20251110</v>
          </cell>
          <cell r="B105" t="str">
            <v>장세래</v>
          </cell>
          <cell r="C105">
            <v>45971</v>
          </cell>
          <cell r="D105" t="str">
            <v>설화수 진설명작크림 60ML (26AD 스파츌러대 사출</v>
          </cell>
          <cell r="E105" t="str">
            <v>외경</v>
          </cell>
          <cell r="V105" t="str">
            <v>외고</v>
          </cell>
          <cell r="AM105">
            <v>0</v>
          </cell>
          <cell r="BD105">
            <v>15.13</v>
          </cell>
          <cell r="BE105">
            <v>2.74</v>
          </cell>
          <cell r="BF105">
            <v>2.73</v>
          </cell>
          <cell r="BG105">
            <v>2.75</v>
          </cell>
          <cell r="BH105">
            <v>2.73</v>
          </cell>
        </row>
        <row r="106">
          <cell r="A106" t="str">
            <v>SI1611_20251104</v>
          </cell>
          <cell r="B106" t="str">
            <v>한창구</v>
          </cell>
          <cell r="C106">
            <v>45965</v>
          </cell>
          <cell r="D106" t="str">
            <v>홀리추얼 울트라 너리싱 어드밴스드 토너 150ML 내캡</v>
          </cell>
          <cell r="E106" t="str">
            <v>A</v>
          </cell>
          <cell r="F106">
            <v>32.020000000000003</v>
          </cell>
          <cell r="G106">
            <v>32.04</v>
          </cell>
          <cell r="H106">
            <v>32.06</v>
          </cell>
          <cell r="I106">
            <v>32.03</v>
          </cell>
          <cell r="V106" t="str">
            <v>B</v>
          </cell>
          <cell r="AM106" t="str">
            <v>C</v>
          </cell>
          <cell r="AN106">
            <v>19.02</v>
          </cell>
          <cell r="AO106">
            <v>19.04</v>
          </cell>
          <cell r="AP106">
            <v>19</v>
          </cell>
          <cell r="AQ106">
            <v>19.04</v>
          </cell>
          <cell r="BE106">
            <v>5.5</v>
          </cell>
          <cell r="BF106">
            <v>5.55</v>
          </cell>
          <cell r="BG106">
            <v>5.49</v>
          </cell>
          <cell r="BH106">
            <v>5.52</v>
          </cell>
        </row>
        <row r="107">
          <cell r="A107" t="str">
            <v>SI1638_20251104</v>
          </cell>
          <cell r="B107" t="str">
            <v>유재호</v>
          </cell>
          <cell r="C107">
            <v>45965</v>
          </cell>
          <cell r="D107" t="str">
            <v>헤라 시그니아 바이탈리프팅크림 소용량 15ml 26AD 내용기</v>
          </cell>
          <cell r="E107" t="str">
            <v>외경</v>
          </cell>
          <cell r="F107">
            <v>37.83</v>
          </cell>
          <cell r="G107">
            <v>37.840000000000003</v>
          </cell>
          <cell r="H107">
            <v>37.840000000000003</v>
          </cell>
          <cell r="I107">
            <v>37.82</v>
          </cell>
          <cell r="V107" t="str">
            <v>언더컷</v>
          </cell>
          <cell r="W107">
            <v>35.21</v>
          </cell>
          <cell r="X107">
            <v>35.22</v>
          </cell>
          <cell r="Y107">
            <v>35.22</v>
          </cell>
          <cell r="Z107">
            <v>35.21</v>
          </cell>
          <cell r="AM107" t="str">
            <v>내경</v>
          </cell>
          <cell r="BD107">
            <v>14.42</v>
          </cell>
          <cell r="BE107">
            <v>5.78</v>
          </cell>
          <cell r="BF107">
            <v>5.8</v>
          </cell>
          <cell r="BG107">
            <v>5.81</v>
          </cell>
          <cell r="BH107">
            <v>5.8</v>
          </cell>
        </row>
        <row r="108">
          <cell r="A108" t="str">
            <v>SI1642_20251030</v>
          </cell>
          <cell r="B108" t="str">
            <v>한창구</v>
          </cell>
          <cell r="C108">
            <v>45960</v>
          </cell>
          <cell r="D108" t="str">
            <v>헤라 시그니아 유스퍼밍 아이크림 소용량 5mL(26AD 내용기</v>
          </cell>
          <cell r="E108" t="str">
            <v>외경</v>
          </cell>
          <cell r="F108">
            <v>33.67</v>
          </cell>
          <cell r="G108">
            <v>33.68</v>
          </cell>
          <cell r="H108">
            <v>33.64</v>
          </cell>
          <cell r="I108">
            <v>33.65</v>
          </cell>
          <cell r="V108" t="str">
            <v>언더컷</v>
          </cell>
          <cell r="W108">
            <v>28.22</v>
          </cell>
          <cell r="X108">
            <v>28.24</v>
          </cell>
          <cell r="Y108">
            <v>28.21</v>
          </cell>
          <cell r="Z108">
            <v>28.23</v>
          </cell>
          <cell r="AM108" t="str">
            <v>내경</v>
          </cell>
          <cell r="BD108">
            <v>14.68</v>
          </cell>
          <cell r="BE108">
            <v>4.72</v>
          </cell>
          <cell r="BF108">
            <v>4.72</v>
          </cell>
          <cell r="BG108">
            <v>4.72</v>
          </cell>
          <cell r="BH108">
            <v>4.72</v>
          </cell>
        </row>
        <row r="109">
          <cell r="A109" t="str">
            <v>SI1654_20251029</v>
          </cell>
          <cell r="B109" t="str">
            <v>한창구</v>
          </cell>
          <cell r="C109">
            <v>45959</v>
          </cell>
          <cell r="D109" t="str">
            <v>홀리추얼 울트라 너리싱 아이크림 30ML 내캡</v>
          </cell>
          <cell r="E109" t="str">
            <v>외경</v>
          </cell>
          <cell r="F109">
            <v>17.66</v>
          </cell>
          <cell r="G109">
            <v>17.649999999999999</v>
          </cell>
          <cell r="H109">
            <v>17.64</v>
          </cell>
          <cell r="I109">
            <v>17.649999999999999</v>
          </cell>
          <cell r="V109" t="str">
            <v>언더컷</v>
          </cell>
          <cell r="W109">
            <v>16.940000000000001</v>
          </cell>
          <cell r="X109">
            <v>16.95</v>
          </cell>
          <cell r="Y109">
            <v>16.940000000000001</v>
          </cell>
          <cell r="Z109">
            <v>16.940000000000001</v>
          </cell>
          <cell r="AM109" t="str">
            <v>나사경</v>
          </cell>
          <cell r="BE109">
            <v>2.12</v>
          </cell>
          <cell r="BF109">
            <v>2.13</v>
          </cell>
          <cell r="BG109">
            <v>2.13</v>
          </cell>
          <cell r="BH109">
            <v>2.13</v>
          </cell>
        </row>
        <row r="110">
          <cell r="A110" t="str">
            <v>SI1653_20251029</v>
          </cell>
          <cell r="B110">
            <v>0</v>
          </cell>
          <cell r="C110">
            <v>45959</v>
          </cell>
          <cell r="D110" t="str">
            <v>홀리추얼 울트라 너리싱 아이크림 30ML 중캡</v>
          </cell>
          <cell r="E110" t="str">
            <v>외경</v>
          </cell>
          <cell r="F110">
            <v>21.37</v>
          </cell>
          <cell r="G110">
            <v>21.36</v>
          </cell>
          <cell r="V110" t="str">
            <v>언더컷</v>
          </cell>
          <cell r="W110">
            <v>17.88</v>
          </cell>
          <cell r="X110">
            <v>17.87</v>
          </cell>
          <cell r="AM110">
            <v>0</v>
          </cell>
        </row>
        <row r="111">
          <cell r="A111" t="str">
            <v>SI1638_20251027</v>
          </cell>
          <cell r="B111" t="str">
            <v>장세래</v>
          </cell>
          <cell r="C111">
            <v>45957</v>
          </cell>
          <cell r="D111" t="str">
            <v>헤라 시그니아 바이탈리프팅크림 소용량 15ml 26AD 내용기</v>
          </cell>
          <cell r="E111" t="str">
            <v>외경</v>
          </cell>
          <cell r="F111">
            <v>37.869999999999997</v>
          </cell>
          <cell r="G111">
            <v>37.89</v>
          </cell>
          <cell r="H111">
            <v>37.869999999999997</v>
          </cell>
          <cell r="I111">
            <v>37.880000000000003</v>
          </cell>
          <cell r="V111" t="str">
            <v>언더컷</v>
          </cell>
          <cell r="W111">
            <v>35.24</v>
          </cell>
          <cell r="X111">
            <v>35.229999999999997</v>
          </cell>
          <cell r="Y111">
            <v>35.229999999999997</v>
          </cell>
          <cell r="Z111">
            <v>35.24</v>
          </cell>
          <cell r="AM111" t="str">
            <v>내경</v>
          </cell>
          <cell r="BD111">
            <v>14.34</v>
          </cell>
          <cell r="BE111">
            <v>5.78</v>
          </cell>
          <cell r="BF111">
            <v>5.79</v>
          </cell>
          <cell r="BG111">
            <v>5.79</v>
          </cell>
          <cell r="BH111">
            <v>5.79</v>
          </cell>
        </row>
        <row r="112">
          <cell r="A112" t="str">
            <v>SI1642_20251023</v>
          </cell>
          <cell r="B112" t="str">
            <v>유재호</v>
          </cell>
          <cell r="C112">
            <v>45953</v>
          </cell>
          <cell r="D112" t="str">
            <v>헤라 시그니아 유스퍼밍 아이크림 소용량 5mL(26AD 내용기</v>
          </cell>
          <cell r="E112" t="str">
            <v>외경</v>
          </cell>
          <cell r="F112">
            <v>33.630000000000003</v>
          </cell>
          <cell r="G112">
            <v>33.630000000000003</v>
          </cell>
          <cell r="H112">
            <v>33.65</v>
          </cell>
          <cell r="I112">
            <v>33.64</v>
          </cell>
          <cell r="V112" t="str">
            <v>언더컷</v>
          </cell>
          <cell r="W112">
            <v>28.06</v>
          </cell>
          <cell r="X112">
            <v>28.09</v>
          </cell>
          <cell r="Y112">
            <v>28.05</v>
          </cell>
          <cell r="Z112">
            <v>28.05</v>
          </cell>
          <cell r="AM112" t="str">
            <v>내경</v>
          </cell>
          <cell r="BD112">
            <v>14.69</v>
          </cell>
          <cell r="BE112">
            <v>4.62</v>
          </cell>
          <cell r="BF112">
            <v>4.6100000000000003</v>
          </cell>
          <cell r="BG112">
            <v>4.6399999999999997</v>
          </cell>
          <cell r="BH112">
            <v>4.6399999999999997</v>
          </cell>
        </row>
        <row r="113">
          <cell r="A113" t="str">
            <v>SI1641_20251023</v>
          </cell>
          <cell r="B113" t="str">
            <v>유재호</v>
          </cell>
          <cell r="C113">
            <v>45953</v>
          </cell>
          <cell r="D113" t="str">
            <v>헤라 시그니아 유스퍼밍 아이크림 소용량 5mL(26AD 캡</v>
          </cell>
          <cell r="E113" t="str">
            <v>외경</v>
          </cell>
          <cell r="F113">
            <v>40.049999999999997</v>
          </cell>
          <cell r="G113">
            <v>40.08</v>
          </cell>
          <cell r="H113">
            <v>40.08</v>
          </cell>
          <cell r="I113">
            <v>40.06</v>
          </cell>
          <cell r="V113" t="str">
            <v>나사경</v>
          </cell>
          <cell r="W113">
            <v>34.32</v>
          </cell>
          <cell r="X113">
            <v>34.33</v>
          </cell>
          <cell r="Y113">
            <v>34.33</v>
          </cell>
          <cell r="Z113">
            <v>34.32</v>
          </cell>
          <cell r="AM113">
            <v>0</v>
          </cell>
          <cell r="BD113">
            <v>29.38</v>
          </cell>
          <cell r="BE113">
            <v>4.16</v>
          </cell>
          <cell r="BF113">
            <v>4.2</v>
          </cell>
          <cell r="BG113">
            <v>4.2</v>
          </cell>
          <cell r="BH113">
            <v>4.2</v>
          </cell>
        </row>
        <row r="114">
          <cell r="A114" t="str">
            <v>SI1652_20251020</v>
          </cell>
          <cell r="B114" t="str">
            <v>장세래</v>
          </cell>
          <cell r="C114">
            <v>45950</v>
          </cell>
          <cell r="D114" t="str">
            <v>홀리추얼 울트라 너리싱 아이크림 30ML 외캡</v>
          </cell>
          <cell r="E114" t="str">
            <v>외경</v>
          </cell>
          <cell r="F114">
            <v>21.71</v>
          </cell>
          <cell r="G114">
            <v>21.72</v>
          </cell>
          <cell r="H114">
            <v>21.73</v>
          </cell>
          <cell r="I114">
            <v>21.72</v>
          </cell>
          <cell r="V114" t="str">
            <v>언더컷</v>
          </cell>
          <cell r="W114">
            <v>18.649999999999999</v>
          </cell>
          <cell r="X114">
            <v>18.670000000000002</v>
          </cell>
          <cell r="Y114">
            <v>18.670000000000002</v>
          </cell>
          <cell r="Z114">
            <v>18.66</v>
          </cell>
          <cell r="AM114">
            <v>0</v>
          </cell>
          <cell r="BE114">
            <v>4.8600000000000003</v>
          </cell>
          <cell r="BF114">
            <v>4.8899999999999997</v>
          </cell>
          <cell r="BG114">
            <v>4.9000000000000004</v>
          </cell>
          <cell r="BH114">
            <v>4.8899999999999997</v>
          </cell>
        </row>
        <row r="115">
          <cell r="A115" t="str">
            <v>SI1655_20251016</v>
          </cell>
          <cell r="B115" t="str">
            <v>유재호</v>
          </cell>
          <cell r="C115">
            <v>45946</v>
          </cell>
          <cell r="D115" t="str">
            <v>홀리추얼 울트라 너리싱 크림 80ML 외캡 사출</v>
          </cell>
          <cell r="E115">
            <v>0</v>
          </cell>
          <cell r="F115">
            <v>55.52</v>
          </cell>
          <cell r="G115">
            <v>55.53</v>
          </cell>
          <cell r="H115">
            <v>55.53</v>
          </cell>
          <cell r="I115">
            <v>55.52</v>
          </cell>
          <cell r="V115">
            <v>0</v>
          </cell>
          <cell r="W115">
            <v>71.069999999999993</v>
          </cell>
          <cell r="X115">
            <v>71.08</v>
          </cell>
          <cell r="Y115">
            <v>71.06</v>
          </cell>
          <cell r="Z115">
            <v>71.069999999999993</v>
          </cell>
          <cell r="AM115">
            <v>0</v>
          </cell>
          <cell r="BD115">
            <v>27.06</v>
          </cell>
          <cell r="BE115">
            <v>19.600000000000001</v>
          </cell>
          <cell r="BF115">
            <v>19.690000000000001</v>
          </cell>
          <cell r="BG115">
            <v>19.55</v>
          </cell>
          <cell r="BH115">
            <v>19.7</v>
          </cell>
        </row>
        <row r="116">
          <cell r="A116" t="str">
            <v>SI1640_20251014</v>
          </cell>
          <cell r="B116">
            <v>0</v>
          </cell>
          <cell r="C116">
            <v>45944</v>
          </cell>
          <cell r="D116" t="str">
            <v>헤라 시그니아 바이탈리프팅크림 소용량 15ml 26AD 내캡</v>
          </cell>
          <cell r="E116" t="str">
            <v>언더컷</v>
          </cell>
          <cell r="F116">
            <v>44.75</v>
          </cell>
          <cell r="G116">
            <v>44.74</v>
          </cell>
          <cell r="H116">
            <v>44.75</v>
          </cell>
          <cell r="I116">
            <v>44.76</v>
          </cell>
          <cell r="V116" t="str">
            <v>나사경</v>
          </cell>
          <cell r="W116">
            <v>38.880000000000003</v>
          </cell>
          <cell r="X116">
            <v>38.85</v>
          </cell>
          <cell r="Y116">
            <v>38.86</v>
          </cell>
          <cell r="Z116">
            <v>38.880000000000003</v>
          </cell>
          <cell r="AM116">
            <v>0</v>
          </cell>
          <cell r="BD116">
            <v>17.5</v>
          </cell>
          <cell r="BE116">
            <v>3.69</v>
          </cell>
          <cell r="BF116">
            <v>3.71</v>
          </cell>
          <cell r="BG116">
            <v>3.9</v>
          </cell>
          <cell r="BH116">
            <v>3.7</v>
          </cell>
        </row>
        <row r="117">
          <cell r="A117" t="str">
            <v>SI1638_20251014</v>
          </cell>
          <cell r="B117">
            <v>0</v>
          </cell>
          <cell r="C117">
            <v>45944</v>
          </cell>
          <cell r="D117" t="str">
            <v>헤라 시그니아 바이탈리프팅크림 소용량 15ml 26AD 내용기</v>
          </cell>
          <cell r="E117" t="str">
            <v>외경</v>
          </cell>
          <cell r="F117">
            <v>37.74</v>
          </cell>
          <cell r="G117">
            <v>37.76</v>
          </cell>
          <cell r="H117">
            <v>37.770000000000003</v>
          </cell>
          <cell r="I117">
            <v>37.74</v>
          </cell>
          <cell r="V117" t="str">
            <v>언더컷</v>
          </cell>
          <cell r="W117">
            <v>34.99</v>
          </cell>
          <cell r="X117">
            <v>35</v>
          </cell>
          <cell r="Y117">
            <v>34.979999999999997</v>
          </cell>
          <cell r="Z117">
            <v>34.99</v>
          </cell>
          <cell r="AM117" t="str">
            <v>내경</v>
          </cell>
          <cell r="BD117">
            <v>13.95</v>
          </cell>
          <cell r="BE117">
            <v>5.66</v>
          </cell>
          <cell r="BF117">
            <v>5.67</v>
          </cell>
          <cell r="BG117">
            <v>5.68</v>
          </cell>
          <cell r="BH117">
            <v>5.66</v>
          </cell>
        </row>
        <row r="118">
          <cell r="A118" t="str">
            <v>SI1654_20251014</v>
          </cell>
          <cell r="B118" t="str">
            <v>유재호</v>
          </cell>
          <cell r="C118">
            <v>45944</v>
          </cell>
          <cell r="D118" t="str">
            <v>홀리추얼 울트라 너리싱 아이크림 30ML 내캡</v>
          </cell>
          <cell r="E118" t="str">
            <v>외경</v>
          </cell>
          <cell r="F118">
            <v>17.64</v>
          </cell>
          <cell r="G118">
            <v>17.649999999999999</v>
          </cell>
          <cell r="H118">
            <v>17.649999999999999</v>
          </cell>
          <cell r="I118">
            <v>17.64</v>
          </cell>
          <cell r="V118" t="str">
            <v>언더컷</v>
          </cell>
          <cell r="W118">
            <v>17.32</v>
          </cell>
          <cell r="X118">
            <v>17.329999999999998</v>
          </cell>
          <cell r="Y118">
            <v>17.32</v>
          </cell>
          <cell r="Z118">
            <v>17.329999999999998</v>
          </cell>
          <cell r="AM118" t="str">
            <v>나사경</v>
          </cell>
          <cell r="AN118">
            <v>12.36</v>
          </cell>
          <cell r="AO118">
            <v>12.37</v>
          </cell>
          <cell r="AP118">
            <v>12.36</v>
          </cell>
          <cell r="AQ118">
            <v>12.36</v>
          </cell>
          <cell r="BD118">
            <v>15.4</v>
          </cell>
          <cell r="BE118">
            <v>2.12</v>
          </cell>
          <cell r="BF118">
            <v>2.13</v>
          </cell>
          <cell r="BG118">
            <v>2.14</v>
          </cell>
          <cell r="BH118">
            <v>2.14</v>
          </cell>
        </row>
        <row r="119">
          <cell r="A119" t="str">
            <v>SI1642_20250930</v>
          </cell>
          <cell r="B119" t="str">
            <v>장세래</v>
          </cell>
          <cell r="C119">
            <v>45930</v>
          </cell>
          <cell r="D119" t="str">
            <v>헤라 시그니아 유스퍼밍 아이크림 소용량 5mL(26AD 내용기</v>
          </cell>
          <cell r="E119" t="str">
            <v>외경</v>
          </cell>
          <cell r="F119">
            <v>33.700000000000003</v>
          </cell>
          <cell r="G119">
            <v>33.68</v>
          </cell>
          <cell r="H119">
            <v>33.71</v>
          </cell>
          <cell r="I119">
            <v>33.68</v>
          </cell>
          <cell r="V119" t="str">
            <v>언더컷</v>
          </cell>
          <cell r="W119">
            <v>28.03</v>
          </cell>
          <cell r="X119">
            <v>28.02</v>
          </cell>
          <cell r="Y119">
            <v>28.04</v>
          </cell>
          <cell r="Z119">
            <v>28.02</v>
          </cell>
          <cell r="AM119" t="str">
            <v>내경</v>
          </cell>
          <cell r="AN119">
            <v>20.45</v>
          </cell>
          <cell r="AO119">
            <v>20.45</v>
          </cell>
          <cell r="AP119">
            <v>20.43</v>
          </cell>
          <cell r="AQ119">
            <v>20.420000000000002</v>
          </cell>
          <cell r="BD119">
            <v>14.65</v>
          </cell>
          <cell r="BE119">
            <v>4.6399999999999997</v>
          </cell>
          <cell r="BF119">
            <v>4.6500000000000004</v>
          </cell>
          <cell r="BG119">
            <v>4.6500000000000004</v>
          </cell>
          <cell r="BH119">
            <v>4.66</v>
          </cell>
        </row>
        <row r="120">
          <cell r="A120" t="str">
            <v>SI1638_20250930</v>
          </cell>
          <cell r="B120" t="str">
            <v>장세래</v>
          </cell>
          <cell r="C120">
            <v>45930</v>
          </cell>
          <cell r="D120" t="str">
            <v>헤라 시그니아 바이탈리프팅크림 소용량 15ml 26AD 내용기</v>
          </cell>
          <cell r="E120" t="str">
            <v>외경</v>
          </cell>
          <cell r="F120">
            <v>44.73</v>
          </cell>
          <cell r="G120">
            <v>44.71</v>
          </cell>
          <cell r="H120">
            <v>44.7</v>
          </cell>
          <cell r="I120">
            <v>44.71</v>
          </cell>
          <cell r="V120" t="str">
            <v>언더컷</v>
          </cell>
          <cell r="W120">
            <v>38.85</v>
          </cell>
          <cell r="X120">
            <v>38.83</v>
          </cell>
          <cell r="Y120">
            <v>38.85</v>
          </cell>
          <cell r="Z120">
            <v>38.869999999999997</v>
          </cell>
          <cell r="AM120" t="str">
            <v>내경</v>
          </cell>
          <cell r="BD120">
            <v>17.34</v>
          </cell>
          <cell r="BE120">
            <v>3.64</v>
          </cell>
          <cell r="BF120">
            <v>3.66</v>
          </cell>
          <cell r="BG120">
            <v>3.66</v>
          </cell>
          <cell r="BH120">
            <v>3.64</v>
          </cell>
        </row>
        <row r="121">
          <cell r="A121" t="str">
            <v>SI1620_20250929</v>
          </cell>
          <cell r="B121" t="str">
            <v>장세래</v>
          </cell>
          <cell r="C121">
            <v>45929</v>
          </cell>
          <cell r="D121" t="str">
            <v>설화수 진설명작크림 60ML (26AD 용기받침 사출</v>
          </cell>
          <cell r="E121" t="str">
            <v>외경</v>
          </cell>
          <cell r="F121">
            <v>90.61</v>
          </cell>
          <cell r="G121">
            <v>90.62</v>
          </cell>
          <cell r="V121" t="str">
            <v>언더컷</v>
          </cell>
          <cell r="W121">
            <v>76.25</v>
          </cell>
          <cell r="X121">
            <v>76.260000000000005</v>
          </cell>
          <cell r="AM121">
            <v>0</v>
          </cell>
          <cell r="BD121">
            <v>7.5</v>
          </cell>
          <cell r="BE121">
            <v>20.22</v>
          </cell>
          <cell r="BF121">
            <v>20.36</v>
          </cell>
        </row>
        <row r="122">
          <cell r="A122" t="str">
            <v>SI1653_20251003</v>
          </cell>
          <cell r="B122" t="str">
            <v>유재호</v>
          </cell>
          <cell r="C122">
            <v>45933</v>
          </cell>
          <cell r="D122" t="str">
            <v>홀리추얼 울트라 너리싱 아이크림 30ML 중캡</v>
          </cell>
          <cell r="E122" t="str">
            <v>외경</v>
          </cell>
          <cell r="F122">
            <v>21.38</v>
          </cell>
          <cell r="G122">
            <v>21.37</v>
          </cell>
          <cell r="V122" t="str">
            <v>언더컷</v>
          </cell>
          <cell r="W122">
            <v>17.57</v>
          </cell>
          <cell r="X122">
            <v>17.579999999999998</v>
          </cell>
          <cell r="AM122">
            <v>0</v>
          </cell>
          <cell r="BD122">
            <v>12.78</v>
          </cell>
          <cell r="BE122">
            <v>1.36</v>
          </cell>
          <cell r="BF122">
            <v>1.35</v>
          </cell>
        </row>
        <row r="123">
          <cell r="A123" t="str">
            <v>SI1652_20251003</v>
          </cell>
          <cell r="B123" t="str">
            <v>유재호</v>
          </cell>
          <cell r="C123">
            <v>45933</v>
          </cell>
          <cell r="D123" t="str">
            <v>홀리추얼 울트라 너리싱 아이크림 30ML 외캡</v>
          </cell>
          <cell r="E123" t="str">
            <v>외경</v>
          </cell>
          <cell r="F123">
            <v>21.71</v>
          </cell>
          <cell r="G123">
            <v>21.73</v>
          </cell>
          <cell r="H123">
            <v>21.73</v>
          </cell>
          <cell r="I123">
            <v>21.72</v>
          </cell>
          <cell r="V123" t="str">
            <v>언더컷</v>
          </cell>
          <cell r="W123">
            <v>18.64</v>
          </cell>
          <cell r="X123">
            <v>18.64</v>
          </cell>
          <cell r="Y123">
            <v>18.63</v>
          </cell>
          <cell r="Z123">
            <v>18.63</v>
          </cell>
          <cell r="AM123">
            <v>0</v>
          </cell>
          <cell r="BD123">
            <v>25.04</v>
          </cell>
          <cell r="BE123">
            <v>4.84</v>
          </cell>
          <cell r="BF123">
            <v>4.87</v>
          </cell>
          <cell r="BG123">
            <v>4.87</v>
          </cell>
          <cell r="BH123">
            <v>4.88</v>
          </cell>
        </row>
        <row r="124">
          <cell r="A124" t="str">
            <v>SI1637_20251001</v>
          </cell>
          <cell r="B124" t="str">
            <v>장세래</v>
          </cell>
          <cell r="C124">
            <v>45931</v>
          </cell>
          <cell r="D124" t="str">
            <v>헤라 시그니아 바이탈리프팅크림 소용량 15ml 26AD 외용기</v>
          </cell>
          <cell r="E124" t="str">
            <v>외경</v>
          </cell>
          <cell r="F124">
            <v>47.9</v>
          </cell>
          <cell r="G124">
            <v>47.94</v>
          </cell>
          <cell r="H124">
            <v>47.96</v>
          </cell>
          <cell r="I124">
            <v>47.93</v>
          </cell>
          <cell r="V124" t="str">
            <v>내경</v>
          </cell>
          <cell r="AM124" t="str">
            <v>나사경</v>
          </cell>
          <cell r="AN124">
            <v>39.950000000000003</v>
          </cell>
          <cell r="AO124">
            <v>39.96</v>
          </cell>
          <cell r="AP124">
            <v>39.979999999999997</v>
          </cell>
          <cell r="AQ124">
            <v>39.94</v>
          </cell>
          <cell r="BE124">
            <v>47.8</v>
          </cell>
          <cell r="BF124">
            <v>47.92</v>
          </cell>
          <cell r="BG124">
            <v>47.85</v>
          </cell>
          <cell r="BH124">
            <v>47.7</v>
          </cell>
        </row>
        <row r="125">
          <cell r="A125" t="str">
            <v>SI1643_20251001</v>
          </cell>
          <cell r="B125" t="str">
            <v>장세래</v>
          </cell>
          <cell r="C125">
            <v>45931</v>
          </cell>
          <cell r="D125" t="str">
            <v>헤라 시그니아 유스퍼밍 아이크림 소용량 5mL(26AD 외용기</v>
          </cell>
          <cell r="E125" t="str">
            <v>외경</v>
          </cell>
          <cell r="F125">
            <v>40.6</v>
          </cell>
          <cell r="G125">
            <v>40.6</v>
          </cell>
          <cell r="H125">
            <v>40.630000000000003</v>
          </cell>
          <cell r="I125">
            <v>40.619999999999997</v>
          </cell>
          <cell r="V125" t="str">
            <v>내경</v>
          </cell>
          <cell r="AM125" t="str">
            <v>나사경</v>
          </cell>
          <cell r="AN125">
            <v>35.840000000000003</v>
          </cell>
          <cell r="AO125">
            <v>35.83</v>
          </cell>
          <cell r="AP125">
            <v>35.86</v>
          </cell>
          <cell r="AQ125">
            <v>35.83</v>
          </cell>
          <cell r="BE125">
            <v>30.35</v>
          </cell>
          <cell r="BF125">
            <v>30.41</v>
          </cell>
          <cell r="BG125">
            <v>30.44</v>
          </cell>
          <cell r="BH125">
            <v>30.38</v>
          </cell>
        </row>
        <row r="126">
          <cell r="A126" t="str">
            <v>SI1629_20250926</v>
          </cell>
          <cell r="B126" t="str">
            <v>유재호</v>
          </cell>
          <cell r="C126">
            <v>45926</v>
          </cell>
          <cell r="D126" t="str">
            <v>설화수 진설명작크림 (견) 10ML (AD 사출덮개</v>
          </cell>
          <cell r="E126" t="str">
            <v>내경</v>
          </cell>
          <cell r="F126">
            <v>34.880000000000003</v>
          </cell>
          <cell r="G126">
            <v>34.89</v>
          </cell>
          <cell r="H126">
            <v>34.89</v>
          </cell>
          <cell r="I126">
            <v>34.880000000000003</v>
          </cell>
          <cell r="V126" t="str">
            <v>외경</v>
          </cell>
          <cell r="W126">
            <v>37.479999999999997</v>
          </cell>
          <cell r="X126">
            <v>37.479999999999997</v>
          </cell>
          <cell r="Y126">
            <v>37.49</v>
          </cell>
          <cell r="Z126">
            <v>37.46</v>
          </cell>
          <cell r="AM126" t="str">
            <v>외고</v>
          </cell>
          <cell r="BD126">
            <v>9.85</v>
          </cell>
          <cell r="BE126">
            <v>2.2000000000000002</v>
          </cell>
          <cell r="BF126">
            <v>2.21</v>
          </cell>
          <cell r="BG126">
            <v>2.2000000000000002</v>
          </cell>
          <cell r="BH126">
            <v>2.2000000000000002</v>
          </cell>
        </row>
        <row r="127">
          <cell r="A127" t="str">
            <v>SI1634_20250926</v>
          </cell>
          <cell r="B127" t="str">
            <v>유재호</v>
          </cell>
          <cell r="C127">
            <v>45926</v>
          </cell>
          <cell r="D127" t="str">
            <v>설화수 진설명작크림 (견) 5ML (AD 사출덮개</v>
          </cell>
          <cell r="E127" t="str">
            <v>내경</v>
          </cell>
          <cell r="F127">
            <v>24.51</v>
          </cell>
          <cell r="G127">
            <v>24.52</v>
          </cell>
          <cell r="H127">
            <v>24.52</v>
          </cell>
          <cell r="I127">
            <v>24.51</v>
          </cell>
          <cell r="V127" t="str">
            <v>외경</v>
          </cell>
          <cell r="W127">
            <v>27.2</v>
          </cell>
          <cell r="X127">
            <v>27.21</v>
          </cell>
          <cell r="Y127">
            <v>27.22</v>
          </cell>
          <cell r="Z127">
            <v>27.21</v>
          </cell>
          <cell r="AM127" t="str">
            <v>외고</v>
          </cell>
          <cell r="BD127">
            <v>9.49</v>
          </cell>
          <cell r="BE127">
            <v>1.1599999999999999</v>
          </cell>
          <cell r="BF127">
            <v>1.19</v>
          </cell>
          <cell r="BG127">
            <v>1.19</v>
          </cell>
          <cell r="BH127">
            <v>1.17</v>
          </cell>
        </row>
        <row r="128">
          <cell r="A128" t="str">
            <v>SI1641_20250925</v>
          </cell>
          <cell r="B128" t="str">
            <v>유재호</v>
          </cell>
          <cell r="C128">
            <v>45925</v>
          </cell>
          <cell r="D128" t="str">
            <v>헤라 시그니아 유스퍼밍 아이크림 소용량 5mL(26AD 캡</v>
          </cell>
          <cell r="E128" t="str">
            <v>외경</v>
          </cell>
          <cell r="F128">
            <v>40.06</v>
          </cell>
          <cell r="G128">
            <v>40.049999999999997</v>
          </cell>
          <cell r="H128">
            <v>40.06</v>
          </cell>
          <cell r="I128">
            <v>40.07</v>
          </cell>
          <cell r="V128" t="str">
            <v>나사경</v>
          </cell>
          <cell r="W128">
            <v>34.53</v>
          </cell>
          <cell r="X128">
            <v>34.54</v>
          </cell>
          <cell r="Y128">
            <v>34.549999999999997</v>
          </cell>
          <cell r="Z128">
            <v>34.53</v>
          </cell>
          <cell r="AM128">
            <v>0</v>
          </cell>
          <cell r="BD128">
            <v>28.63</v>
          </cell>
          <cell r="BE128">
            <v>4.1900000000000004</v>
          </cell>
          <cell r="BF128">
            <v>4.2</v>
          </cell>
          <cell r="BG128">
            <v>4.22</v>
          </cell>
          <cell r="BH128">
            <v>4.1900000000000004</v>
          </cell>
        </row>
        <row r="129">
          <cell r="A129" t="str">
            <v>SI1640_20250923</v>
          </cell>
          <cell r="B129" t="str">
            <v>장세래</v>
          </cell>
          <cell r="C129">
            <v>45923</v>
          </cell>
          <cell r="D129" t="str">
            <v>헤라 시그니아 바이탈리프팅크림 소용량 15ml 26AD 내캡</v>
          </cell>
          <cell r="E129" t="str">
            <v>언더컷</v>
          </cell>
          <cell r="F129">
            <v>44.78</v>
          </cell>
          <cell r="G129">
            <v>44.76</v>
          </cell>
          <cell r="H129">
            <v>44.75</v>
          </cell>
          <cell r="I129">
            <v>44.77</v>
          </cell>
          <cell r="V129" t="str">
            <v>나사경</v>
          </cell>
          <cell r="W129">
            <v>38.83</v>
          </cell>
          <cell r="X129">
            <v>38.869999999999997</v>
          </cell>
          <cell r="Y129">
            <v>38.869999999999997</v>
          </cell>
          <cell r="Z129">
            <v>38.86</v>
          </cell>
          <cell r="AM129">
            <v>0</v>
          </cell>
          <cell r="BD129">
            <v>17.62</v>
          </cell>
          <cell r="BE129">
            <v>3.67</v>
          </cell>
          <cell r="BF129">
            <v>3.72</v>
          </cell>
          <cell r="BG129">
            <v>3.73</v>
          </cell>
          <cell r="BH129">
            <v>3.68</v>
          </cell>
        </row>
        <row r="130">
          <cell r="A130" t="str">
            <v>SI1637_20250923</v>
          </cell>
          <cell r="B130" t="str">
            <v>민병태</v>
          </cell>
          <cell r="C130">
            <v>45923</v>
          </cell>
          <cell r="D130" t="str">
            <v>헤라 시그니아 바이탈리프팅크림 소용량 15ml 26AD 외용기</v>
          </cell>
          <cell r="E130" t="str">
            <v>외경</v>
          </cell>
          <cell r="F130">
            <v>47.97</v>
          </cell>
          <cell r="G130">
            <v>47.97</v>
          </cell>
          <cell r="H130">
            <v>47.93</v>
          </cell>
          <cell r="I130">
            <v>47.94</v>
          </cell>
          <cell r="V130" t="str">
            <v>내경</v>
          </cell>
          <cell r="W130">
            <v>34.68</v>
          </cell>
          <cell r="X130">
            <v>34.67</v>
          </cell>
          <cell r="Y130">
            <v>34.68</v>
          </cell>
          <cell r="Z130">
            <v>34.67</v>
          </cell>
          <cell r="AM130" t="str">
            <v>나사경</v>
          </cell>
          <cell r="AN130">
            <v>39.979999999999997</v>
          </cell>
          <cell r="AO130">
            <v>39.99</v>
          </cell>
          <cell r="AP130">
            <v>39.96</v>
          </cell>
          <cell r="AQ130">
            <v>39.92</v>
          </cell>
          <cell r="BE130">
            <v>47.07</v>
          </cell>
          <cell r="BF130">
            <v>47.06</v>
          </cell>
          <cell r="BG130">
            <v>46.82</v>
          </cell>
          <cell r="BH130">
            <v>46.79</v>
          </cell>
        </row>
        <row r="131">
          <cell r="A131" t="str">
            <v>SI1643_20250923</v>
          </cell>
          <cell r="B131" t="str">
            <v>민병태</v>
          </cell>
          <cell r="C131">
            <v>45923</v>
          </cell>
          <cell r="D131" t="str">
            <v>헤라 시그니아 유스퍼밍 아이크림 소용량 5mL(26AD 외용기</v>
          </cell>
          <cell r="E131" t="str">
            <v>외경</v>
          </cell>
          <cell r="F131">
            <v>40.58</v>
          </cell>
          <cell r="G131">
            <v>40.6</v>
          </cell>
          <cell r="H131">
            <v>40.630000000000003</v>
          </cell>
          <cell r="I131">
            <v>40.630000000000003</v>
          </cell>
          <cell r="V131" t="str">
            <v>내경</v>
          </cell>
          <cell r="AM131" t="str">
            <v>나사경</v>
          </cell>
          <cell r="AN131">
            <v>35.840000000000003</v>
          </cell>
          <cell r="AO131">
            <v>35.83</v>
          </cell>
          <cell r="AP131">
            <v>35.85</v>
          </cell>
          <cell r="AQ131">
            <v>35.82</v>
          </cell>
          <cell r="BE131">
            <v>30.42</v>
          </cell>
          <cell r="BF131">
            <v>30.46</v>
          </cell>
          <cell r="BG131">
            <v>30.49</v>
          </cell>
          <cell r="BH131">
            <v>30.43</v>
          </cell>
        </row>
        <row r="132">
          <cell r="A132" t="str">
            <v>SI1642_20250915</v>
          </cell>
          <cell r="B132" t="str">
            <v>장세래</v>
          </cell>
          <cell r="C132">
            <v>45915</v>
          </cell>
          <cell r="D132" t="str">
            <v>헤라 시그니아 유스퍼밍 아이크림 소용량 5mL(26AD 내용기</v>
          </cell>
          <cell r="E132" t="str">
            <v>외경</v>
          </cell>
          <cell r="F132">
            <v>33.619999999999997</v>
          </cell>
          <cell r="G132">
            <v>33.64</v>
          </cell>
          <cell r="H132">
            <v>33.64</v>
          </cell>
          <cell r="I132">
            <v>33.630000000000003</v>
          </cell>
          <cell r="V132" t="str">
            <v>언더컷</v>
          </cell>
          <cell r="W132">
            <v>28.02</v>
          </cell>
          <cell r="X132">
            <v>28.01</v>
          </cell>
          <cell r="Y132">
            <v>28.04</v>
          </cell>
          <cell r="Z132">
            <v>28.01</v>
          </cell>
          <cell r="AM132" t="str">
            <v>내경</v>
          </cell>
          <cell r="AN132">
            <v>20.41</v>
          </cell>
          <cell r="AO132">
            <v>20.420000000000002</v>
          </cell>
          <cell r="AP132">
            <v>20.43</v>
          </cell>
          <cell r="AQ132">
            <v>20.41</v>
          </cell>
          <cell r="BD132">
            <v>14.52</v>
          </cell>
          <cell r="BE132">
            <v>4.63</v>
          </cell>
          <cell r="BF132">
            <v>4.62</v>
          </cell>
          <cell r="BG132">
            <v>4.6399999999999997</v>
          </cell>
          <cell r="BH132">
            <v>4.63</v>
          </cell>
        </row>
        <row r="133">
          <cell r="A133" t="str">
            <v>SI1638_20250915</v>
          </cell>
          <cell r="B133" t="str">
            <v>장세래</v>
          </cell>
          <cell r="C133">
            <v>45915</v>
          </cell>
          <cell r="D133" t="str">
            <v>헤라 시그니아 바이탈리프팅크림 소용량 15ml 26AD 내용기</v>
          </cell>
          <cell r="E133" t="str">
            <v>외경</v>
          </cell>
          <cell r="F133">
            <v>37.83</v>
          </cell>
          <cell r="G133">
            <v>37.840000000000003</v>
          </cell>
          <cell r="H133">
            <v>37.82</v>
          </cell>
          <cell r="I133">
            <v>37.840000000000003</v>
          </cell>
          <cell r="V133" t="str">
            <v>언더컷</v>
          </cell>
          <cell r="W133">
            <v>35.090000000000003</v>
          </cell>
          <cell r="X133">
            <v>35.1</v>
          </cell>
          <cell r="Y133">
            <v>35.1</v>
          </cell>
          <cell r="Z133">
            <v>35.090000000000003</v>
          </cell>
          <cell r="AM133" t="str">
            <v>내경</v>
          </cell>
          <cell r="AN133">
            <v>29.84</v>
          </cell>
          <cell r="AO133">
            <v>29.88</v>
          </cell>
          <cell r="AP133">
            <v>29.87</v>
          </cell>
          <cell r="AQ133">
            <v>29.85</v>
          </cell>
          <cell r="BE133">
            <v>5.73</v>
          </cell>
          <cell r="BF133">
            <v>5.77</v>
          </cell>
          <cell r="BG133">
            <v>5.78</v>
          </cell>
        </row>
        <row r="134">
          <cell r="A134" t="str">
            <v>SI1643_20250913</v>
          </cell>
          <cell r="B134" t="str">
            <v>장세래</v>
          </cell>
          <cell r="C134">
            <v>45913</v>
          </cell>
          <cell r="D134" t="str">
            <v>헤라 시그니아 유스퍼밍 아이크림 소용량 5mL(26AD 외용기</v>
          </cell>
          <cell r="E134" t="str">
            <v>외경</v>
          </cell>
          <cell r="F134">
            <v>40.68</v>
          </cell>
          <cell r="G134">
            <v>40.67</v>
          </cell>
          <cell r="H134">
            <v>40.64</v>
          </cell>
          <cell r="I134">
            <v>40.590000000000003</v>
          </cell>
          <cell r="V134" t="str">
            <v>내경</v>
          </cell>
          <cell r="W134">
            <v>27.65</v>
          </cell>
          <cell r="X134">
            <v>27.67</v>
          </cell>
          <cell r="Y134">
            <v>27.68</v>
          </cell>
          <cell r="Z134">
            <v>27.7</v>
          </cell>
          <cell r="AM134" t="str">
            <v>나사경</v>
          </cell>
          <cell r="AN134">
            <v>35.840000000000003</v>
          </cell>
          <cell r="AO134">
            <v>35.82</v>
          </cell>
          <cell r="AP134">
            <v>35.82</v>
          </cell>
          <cell r="AQ134">
            <v>35.81</v>
          </cell>
          <cell r="BE134">
            <v>30.41</v>
          </cell>
          <cell r="BF134">
            <v>30.45</v>
          </cell>
          <cell r="BG134">
            <v>30.47</v>
          </cell>
          <cell r="BH134">
            <v>30.44</v>
          </cell>
        </row>
        <row r="135">
          <cell r="A135" t="str">
            <v>SI1637_20250913</v>
          </cell>
          <cell r="B135" t="str">
            <v>장세래</v>
          </cell>
          <cell r="C135">
            <v>45913</v>
          </cell>
          <cell r="D135" t="str">
            <v>헤라 시그니아 바이탈리프팅크림 소용량 15ml 26AD 외용기</v>
          </cell>
          <cell r="E135" t="str">
            <v>외경</v>
          </cell>
          <cell r="F135">
            <v>47.96</v>
          </cell>
          <cell r="G135">
            <v>47.94</v>
          </cell>
          <cell r="H135">
            <v>47.94</v>
          </cell>
          <cell r="I135">
            <v>47.92</v>
          </cell>
          <cell r="V135" t="str">
            <v>내경</v>
          </cell>
          <cell r="W135">
            <v>34.619999999999997</v>
          </cell>
          <cell r="X135">
            <v>34.6</v>
          </cell>
          <cell r="Y135">
            <v>34.64</v>
          </cell>
          <cell r="Z135">
            <v>34.69</v>
          </cell>
          <cell r="AM135" t="str">
            <v>나사경</v>
          </cell>
          <cell r="AN135">
            <v>39.83</v>
          </cell>
          <cell r="AO135">
            <v>39.89</v>
          </cell>
          <cell r="AP135">
            <v>39.86</v>
          </cell>
          <cell r="AQ135">
            <v>39.869999999999997</v>
          </cell>
          <cell r="BE135">
            <v>47.91</v>
          </cell>
          <cell r="BF135">
            <v>47.95</v>
          </cell>
          <cell r="BG135">
            <v>47.94</v>
          </cell>
          <cell r="BH135">
            <v>47.84</v>
          </cell>
        </row>
        <row r="136">
          <cell r="A136" t="str">
            <v>SI1632_20250911</v>
          </cell>
          <cell r="B136">
            <v>0</v>
          </cell>
          <cell r="C136">
            <v>45911</v>
          </cell>
          <cell r="D136" t="str">
            <v>설화수 진설명작크림 (견) 5ML (AD 단용기</v>
          </cell>
          <cell r="E136" t="str">
            <v>나사경</v>
          </cell>
          <cell r="F136">
            <v>36.159999999999997</v>
          </cell>
          <cell r="G136">
            <v>36.130000000000003</v>
          </cell>
          <cell r="H136">
            <v>36.18</v>
          </cell>
          <cell r="I136">
            <v>36.159999999999997</v>
          </cell>
          <cell r="V136" t="str">
            <v>외경</v>
          </cell>
          <cell r="W136">
            <v>36.24</v>
          </cell>
          <cell r="X136">
            <v>36.25</v>
          </cell>
          <cell r="Y136">
            <v>36.26</v>
          </cell>
          <cell r="Z136">
            <v>36.25</v>
          </cell>
          <cell r="AM136" t="str">
            <v>언더컷</v>
          </cell>
          <cell r="BD136">
            <v>16.54</v>
          </cell>
          <cell r="BE136">
            <v>5.16</v>
          </cell>
          <cell r="BF136">
            <v>5.29</v>
          </cell>
          <cell r="BG136">
            <v>5.25</v>
          </cell>
          <cell r="BH136">
            <v>5.27</v>
          </cell>
        </row>
        <row r="137">
          <cell r="A137" t="str">
            <v>SI1628_20250911</v>
          </cell>
          <cell r="B137">
            <v>0</v>
          </cell>
          <cell r="C137">
            <v>45911</v>
          </cell>
          <cell r="D137" t="str">
            <v>설화수 진설명작크림 (견) 10ML (AD 단용기</v>
          </cell>
          <cell r="E137" t="str">
            <v>나사경</v>
          </cell>
          <cell r="F137">
            <v>46.62</v>
          </cell>
          <cell r="G137">
            <v>46.59</v>
          </cell>
          <cell r="H137">
            <v>46.61</v>
          </cell>
          <cell r="I137">
            <v>46.62</v>
          </cell>
          <cell r="V137" t="str">
            <v>외경</v>
          </cell>
          <cell r="W137">
            <v>46.82</v>
          </cell>
          <cell r="X137">
            <v>46.83</v>
          </cell>
          <cell r="Y137">
            <v>46.84</v>
          </cell>
          <cell r="Z137">
            <v>46.84</v>
          </cell>
          <cell r="AM137" t="str">
            <v>언더컷</v>
          </cell>
        </row>
        <row r="138">
          <cell r="A138" t="str">
            <v>SI1619_20250911</v>
          </cell>
          <cell r="B138" t="str">
            <v>유재호</v>
          </cell>
          <cell r="C138">
            <v>45911</v>
          </cell>
          <cell r="D138" t="str">
            <v>설화수 진설명작크림 60ML (26AD 외용기</v>
          </cell>
          <cell r="E138" t="str">
            <v>나사경</v>
          </cell>
          <cell r="F138">
            <v>76.400000000000006</v>
          </cell>
          <cell r="G138">
            <v>76.41</v>
          </cell>
          <cell r="V138" t="str">
            <v>언더컷B</v>
          </cell>
          <cell r="AM138" t="str">
            <v>언더컷</v>
          </cell>
          <cell r="AN138">
            <v>73.02</v>
          </cell>
          <cell r="AO138">
            <v>73.040000000000006</v>
          </cell>
          <cell r="BD138">
            <v>12.55</v>
          </cell>
          <cell r="BE138">
            <v>61.43</v>
          </cell>
          <cell r="BF138">
            <v>61.38</v>
          </cell>
        </row>
        <row r="139">
          <cell r="A139" t="str">
            <v>SI1618_20250911</v>
          </cell>
          <cell r="B139" t="str">
            <v>유재호</v>
          </cell>
          <cell r="C139">
            <v>45911</v>
          </cell>
          <cell r="D139" t="str">
            <v>설화수 진설명작크림 60ML (26AD 내용기</v>
          </cell>
          <cell r="E139" t="str">
            <v>언더컷</v>
          </cell>
          <cell r="F139">
            <v>62.23</v>
          </cell>
          <cell r="G139">
            <v>62.26</v>
          </cell>
          <cell r="V139" t="str">
            <v>언더컷2</v>
          </cell>
          <cell r="AM139" t="str">
            <v>내경</v>
          </cell>
          <cell r="BD139">
            <v>6.99</v>
          </cell>
          <cell r="BE139">
            <v>13.3</v>
          </cell>
          <cell r="BF139">
            <v>13.26</v>
          </cell>
        </row>
        <row r="140">
          <cell r="A140" t="str">
            <v>SI1614_20250911</v>
          </cell>
          <cell r="B140" t="str">
            <v>유재호</v>
          </cell>
          <cell r="C140">
            <v>45911</v>
          </cell>
          <cell r="D140" t="str">
            <v>설화수 진설명작크림 60ML (26AD 내캡</v>
          </cell>
          <cell r="E140" t="str">
            <v>키잡이</v>
          </cell>
          <cell r="F140">
            <v>82.48</v>
          </cell>
          <cell r="G140">
            <v>82.49</v>
          </cell>
          <cell r="V140" t="str">
            <v>언더컷</v>
          </cell>
          <cell r="W140">
            <v>81.28</v>
          </cell>
          <cell r="X140">
            <v>81.290000000000006</v>
          </cell>
          <cell r="AM140" t="str">
            <v>언더컷2</v>
          </cell>
          <cell r="BD140">
            <v>8.99</v>
          </cell>
          <cell r="BE140">
            <v>23.26</v>
          </cell>
          <cell r="BF140">
            <v>23.23</v>
          </cell>
        </row>
        <row r="141">
          <cell r="A141" t="str">
            <v>SI1641_20250903</v>
          </cell>
          <cell r="B141" t="str">
            <v>유재호</v>
          </cell>
          <cell r="C141">
            <v>45903</v>
          </cell>
          <cell r="D141" t="str">
            <v>헤라 시그니아 유스퍼밍 아이크림 소용량 5mL(26AD 캡</v>
          </cell>
          <cell r="E141" t="str">
            <v>외경</v>
          </cell>
          <cell r="F141">
            <v>40.020000000000003</v>
          </cell>
          <cell r="G141">
            <v>40.03</v>
          </cell>
          <cell r="H141">
            <v>40.01</v>
          </cell>
          <cell r="I141">
            <v>40.020000000000003</v>
          </cell>
          <cell r="V141" t="str">
            <v>나사경</v>
          </cell>
          <cell r="W141">
            <v>34.31</v>
          </cell>
          <cell r="X141">
            <v>34.32</v>
          </cell>
          <cell r="Y141">
            <v>34.340000000000003</v>
          </cell>
          <cell r="Z141">
            <v>34.35</v>
          </cell>
          <cell r="AM141">
            <v>0</v>
          </cell>
          <cell r="BD141">
            <v>29.41</v>
          </cell>
          <cell r="BE141">
            <v>3.98</v>
          </cell>
          <cell r="BF141">
            <v>4.0199999999999996</v>
          </cell>
          <cell r="BG141">
            <v>3.99</v>
          </cell>
          <cell r="BH141">
            <v>4.0199999999999996</v>
          </cell>
        </row>
        <row r="142">
          <cell r="A142" t="str">
            <v>SI1640_20250903</v>
          </cell>
          <cell r="B142" t="str">
            <v>유재호</v>
          </cell>
          <cell r="C142">
            <v>45903</v>
          </cell>
          <cell r="D142" t="str">
            <v>헤라 시그니아 바이탈리프팅크림 소용량 15ml 26AD 내캡</v>
          </cell>
          <cell r="E142" t="str">
            <v>외경</v>
          </cell>
          <cell r="V142" t="str">
            <v>나사경</v>
          </cell>
          <cell r="W142">
            <v>38.76</v>
          </cell>
          <cell r="X142">
            <v>38.75</v>
          </cell>
          <cell r="Y142">
            <v>38.78</v>
          </cell>
          <cell r="Z142">
            <v>38.76</v>
          </cell>
          <cell r="AM142" t="str">
            <v>언더컷</v>
          </cell>
          <cell r="AN142">
            <v>44.86</v>
          </cell>
          <cell r="AO142">
            <v>44.86</v>
          </cell>
          <cell r="AP142">
            <v>44.86</v>
          </cell>
          <cell r="AQ142">
            <v>44.87</v>
          </cell>
          <cell r="BD142">
            <v>37.96</v>
          </cell>
          <cell r="BE142">
            <v>4.01</v>
          </cell>
          <cell r="BF142">
            <v>4.03</v>
          </cell>
          <cell r="BG142">
            <v>4.05</v>
          </cell>
          <cell r="BH142">
            <v>4.0199999999999996</v>
          </cell>
        </row>
        <row r="143">
          <cell r="A143" t="str">
            <v>SI1642_20250902</v>
          </cell>
          <cell r="B143" t="str">
            <v>유재호</v>
          </cell>
          <cell r="C143">
            <v>45902</v>
          </cell>
          <cell r="D143" t="str">
            <v>헤라 시그니아 유스퍼밍 아이크림 소용량 5mL(26AD 내용기</v>
          </cell>
          <cell r="E143" t="str">
            <v>외경</v>
          </cell>
          <cell r="F143">
            <v>33.659999999999997</v>
          </cell>
          <cell r="G143">
            <v>33.67</v>
          </cell>
          <cell r="H143">
            <v>33.67</v>
          </cell>
          <cell r="I143">
            <v>33.659999999999997</v>
          </cell>
          <cell r="V143" t="str">
            <v>언더컷</v>
          </cell>
          <cell r="W143">
            <v>27.87</v>
          </cell>
          <cell r="X143">
            <v>27.88</v>
          </cell>
          <cell r="Y143">
            <v>27.87</v>
          </cell>
          <cell r="Z143">
            <v>27.87</v>
          </cell>
          <cell r="AM143" t="str">
            <v>내경</v>
          </cell>
          <cell r="BD143">
            <v>14.18</v>
          </cell>
          <cell r="BE143">
            <v>4.63</v>
          </cell>
          <cell r="BF143">
            <v>4.6399999999999997</v>
          </cell>
          <cell r="BG143">
            <v>4.6399999999999997</v>
          </cell>
          <cell r="BH143">
            <v>4.63</v>
          </cell>
        </row>
        <row r="144">
          <cell r="A144" t="str">
            <v>SI1638_20250902</v>
          </cell>
          <cell r="B144" t="str">
            <v>유재호</v>
          </cell>
          <cell r="C144">
            <v>45902</v>
          </cell>
          <cell r="D144" t="str">
            <v>헤라 시그니아 바이탈리프팅크림 소용량 15ml 26AD 내용기</v>
          </cell>
          <cell r="E144" t="str">
            <v>외경</v>
          </cell>
          <cell r="F144">
            <v>37.86</v>
          </cell>
          <cell r="G144">
            <v>37.840000000000003</v>
          </cell>
          <cell r="H144">
            <v>37.840000000000003</v>
          </cell>
          <cell r="I144">
            <v>37.840000000000003</v>
          </cell>
          <cell r="V144" t="str">
            <v>언더컷</v>
          </cell>
          <cell r="W144">
            <v>34.950000000000003</v>
          </cell>
          <cell r="X144">
            <v>34.96</v>
          </cell>
          <cell r="Y144">
            <v>34.950000000000003</v>
          </cell>
          <cell r="Z144">
            <v>34.950000000000003</v>
          </cell>
          <cell r="AM144" t="str">
            <v>내경</v>
          </cell>
          <cell r="BD144">
            <v>13.98</v>
          </cell>
          <cell r="BE144">
            <v>5.74</v>
          </cell>
          <cell r="BF144">
            <v>5.78</v>
          </cell>
          <cell r="BG144">
            <v>5.76</v>
          </cell>
          <cell r="BH144">
            <v>5.74</v>
          </cell>
        </row>
        <row r="145">
          <cell r="A145" t="str">
            <v>SI1643_20250828</v>
          </cell>
          <cell r="B145" t="str">
            <v>장세래</v>
          </cell>
          <cell r="C145">
            <v>45897</v>
          </cell>
          <cell r="D145" t="str">
            <v>헤라 시그니아 유스퍼밍 아이크림 소용량 5mL(26AD 외용기</v>
          </cell>
          <cell r="E145" t="str">
            <v>외경</v>
          </cell>
          <cell r="F145">
            <v>40.64</v>
          </cell>
          <cell r="G145">
            <v>40.68</v>
          </cell>
          <cell r="H145">
            <v>40.659999999999997</v>
          </cell>
          <cell r="I145">
            <v>40.67</v>
          </cell>
          <cell r="V145" t="str">
            <v>내경</v>
          </cell>
          <cell r="W145">
            <v>27.64</v>
          </cell>
          <cell r="X145">
            <v>27.68</v>
          </cell>
          <cell r="Y145">
            <v>27.65</v>
          </cell>
          <cell r="Z145">
            <v>27.69</v>
          </cell>
          <cell r="AM145">
            <v>0</v>
          </cell>
          <cell r="BE145">
            <v>29.97</v>
          </cell>
          <cell r="BF145">
            <v>30.06</v>
          </cell>
          <cell r="BG145">
            <v>30.04</v>
          </cell>
          <cell r="BH145">
            <v>30.01</v>
          </cell>
        </row>
        <row r="146">
          <cell r="A146" t="str">
            <v>SI1637_20250828</v>
          </cell>
          <cell r="B146" t="str">
            <v>장세래</v>
          </cell>
          <cell r="C146">
            <v>45897</v>
          </cell>
          <cell r="D146" t="str">
            <v>헤라 시그니아 바이탈리프팅크림 소용량 15ml 26AD 외용기</v>
          </cell>
          <cell r="E146" t="str">
            <v>외경</v>
          </cell>
          <cell r="F146">
            <v>48.08</v>
          </cell>
          <cell r="G146">
            <v>48.05</v>
          </cell>
          <cell r="H146">
            <v>48.05</v>
          </cell>
          <cell r="I146">
            <v>48.08</v>
          </cell>
          <cell r="V146" t="str">
            <v>내경</v>
          </cell>
          <cell r="W146">
            <v>34.72</v>
          </cell>
          <cell r="X146">
            <v>34.729999999999997</v>
          </cell>
          <cell r="Y146">
            <v>34.72</v>
          </cell>
          <cell r="Z146">
            <v>34.71</v>
          </cell>
          <cell r="AM146" t="str">
            <v>B</v>
          </cell>
          <cell r="BE146">
            <v>47.42</v>
          </cell>
          <cell r="BF146">
            <v>47.53</v>
          </cell>
          <cell r="BG146">
            <v>47.51</v>
          </cell>
          <cell r="BH146">
            <v>47.41</v>
          </cell>
        </row>
        <row r="147">
          <cell r="A147" t="str">
            <v>SI1628_20250812</v>
          </cell>
          <cell r="B147" t="str">
            <v>한창구</v>
          </cell>
          <cell r="C147">
            <v>45896</v>
          </cell>
          <cell r="D147" t="str">
            <v>설화수 진설명작크림 (견) 10ML (AD 단용기</v>
          </cell>
          <cell r="E147" t="str">
            <v>나사경</v>
          </cell>
          <cell r="F147">
            <v>46.59</v>
          </cell>
          <cell r="G147">
            <v>46.59</v>
          </cell>
          <cell r="H147">
            <v>46.6</v>
          </cell>
          <cell r="I147">
            <v>46.6</v>
          </cell>
          <cell r="V147" t="str">
            <v>외경</v>
          </cell>
          <cell r="W147">
            <v>46.87</v>
          </cell>
          <cell r="X147">
            <v>46.89</v>
          </cell>
          <cell r="Y147">
            <v>46.88</v>
          </cell>
          <cell r="Z147">
            <v>46.86</v>
          </cell>
          <cell r="AM147" t="str">
            <v>언더컷</v>
          </cell>
          <cell r="BE147">
            <v>8.6199999999999992</v>
          </cell>
          <cell r="BF147">
            <v>8.7200000000000006</v>
          </cell>
          <cell r="BG147">
            <v>8.75</v>
          </cell>
          <cell r="BH147">
            <v>8.7200000000000006</v>
          </cell>
        </row>
        <row r="148">
          <cell r="A148" t="str">
            <v>SI1632_20250812</v>
          </cell>
          <cell r="B148" t="str">
            <v>한창구</v>
          </cell>
          <cell r="C148">
            <v>45896</v>
          </cell>
          <cell r="D148" t="str">
            <v>설화수 진설명작크림 (견) 5ML (AD 단용기</v>
          </cell>
          <cell r="E148" t="str">
            <v>입구경</v>
          </cell>
          <cell r="V148" t="str">
            <v>나사경</v>
          </cell>
          <cell r="W148">
            <v>36.04</v>
          </cell>
          <cell r="X148">
            <v>36.020000000000003</v>
          </cell>
          <cell r="Y148">
            <v>36.04</v>
          </cell>
          <cell r="Z148">
            <v>36.03</v>
          </cell>
          <cell r="AM148" t="str">
            <v>외경</v>
          </cell>
          <cell r="AN148">
            <v>36.229999999999997</v>
          </cell>
          <cell r="AO148">
            <v>36.24</v>
          </cell>
          <cell r="AP148">
            <v>36.229999999999997</v>
          </cell>
          <cell r="AQ148">
            <v>36.24</v>
          </cell>
          <cell r="BE148">
            <v>5.18</v>
          </cell>
          <cell r="BF148">
            <v>5.18</v>
          </cell>
          <cell r="BG148">
            <v>5.19</v>
          </cell>
          <cell r="BH148">
            <v>5.19</v>
          </cell>
        </row>
        <row r="149">
          <cell r="A149" t="str">
            <v>SI1627_20250812</v>
          </cell>
          <cell r="B149" t="str">
            <v>장세래</v>
          </cell>
          <cell r="C149">
            <v>45895</v>
          </cell>
          <cell r="D149" t="str">
            <v>설화수 진설명작크림 (견) 10ML (AD 용기받침</v>
          </cell>
          <cell r="E149" t="str">
            <v>내경</v>
          </cell>
          <cell r="V149" t="str">
            <v>언더컷</v>
          </cell>
          <cell r="W149">
            <v>44.26</v>
          </cell>
          <cell r="X149">
            <v>44.27</v>
          </cell>
          <cell r="Y149">
            <v>44.24</v>
          </cell>
          <cell r="Z149">
            <v>44.27</v>
          </cell>
          <cell r="AM149" t="str">
            <v>외경</v>
          </cell>
          <cell r="AN149">
            <v>58.41</v>
          </cell>
          <cell r="AO149">
            <v>58.39</v>
          </cell>
          <cell r="AP149">
            <v>58.42</v>
          </cell>
          <cell r="AQ149">
            <v>58.42</v>
          </cell>
          <cell r="BD149">
            <v>28.46</v>
          </cell>
          <cell r="BE149">
            <v>20.329999999999998</v>
          </cell>
          <cell r="BF149">
            <v>20.29</v>
          </cell>
          <cell r="BG149">
            <v>20.350000000000001</v>
          </cell>
          <cell r="BH149">
            <v>20.309999999999999</v>
          </cell>
        </row>
        <row r="150">
          <cell r="A150" t="str">
            <v>SI1633_20250812</v>
          </cell>
          <cell r="B150" t="str">
            <v>장세래</v>
          </cell>
          <cell r="C150">
            <v>45895</v>
          </cell>
          <cell r="D150" t="str">
            <v>설화수 진설명작크림 (견) 5ML (AD 용기받침</v>
          </cell>
          <cell r="E150" t="str">
            <v>언더컷</v>
          </cell>
          <cell r="F150">
            <v>33.770000000000003</v>
          </cell>
          <cell r="G150">
            <v>33.79</v>
          </cell>
          <cell r="H150">
            <v>33.78</v>
          </cell>
          <cell r="I150">
            <v>33.78</v>
          </cell>
          <cell r="V150" t="str">
            <v>키잡이</v>
          </cell>
          <cell r="AM150" t="str">
            <v>외경</v>
          </cell>
          <cell r="AN150">
            <v>48.17</v>
          </cell>
          <cell r="AO150">
            <v>48.19</v>
          </cell>
          <cell r="AP150">
            <v>48.19</v>
          </cell>
          <cell r="AQ150">
            <v>48.19</v>
          </cell>
          <cell r="BD150">
            <v>24.61</v>
          </cell>
          <cell r="BE150">
            <v>5.61</v>
          </cell>
          <cell r="BF150">
            <v>5.62</v>
          </cell>
          <cell r="BG150">
            <v>5.62</v>
          </cell>
          <cell r="BH150">
            <v>5.62</v>
          </cell>
        </row>
        <row r="151">
          <cell r="A151" t="str">
            <v>SI1625_20250812</v>
          </cell>
          <cell r="B151" t="str">
            <v>장세래</v>
          </cell>
          <cell r="C151">
            <v>45894</v>
          </cell>
          <cell r="D151" t="str">
            <v>설화수 진설명작크림 (견) 10ML (AD 외캡</v>
          </cell>
          <cell r="E151" t="str">
            <v>내경</v>
          </cell>
          <cell r="V151" t="str">
            <v>외경</v>
          </cell>
          <cell r="W151">
            <v>58.41</v>
          </cell>
          <cell r="X151">
            <v>58.39</v>
          </cell>
          <cell r="Y151">
            <v>58.42</v>
          </cell>
          <cell r="Z151">
            <v>58.42</v>
          </cell>
          <cell r="AM151" t="str">
            <v>언더컷</v>
          </cell>
          <cell r="AN151">
            <v>50.45</v>
          </cell>
          <cell r="AO151">
            <v>50.49</v>
          </cell>
          <cell r="AP151">
            <v>50.48</v>
          </cell>
          <cell r="AQ151">
            <v>50.45</v>
          </cell>
          <cell r="BD151">
            <v>28.46</v>
          </cell>
          <cell r="BE151">
            <v>20.329999999999998</v>
          </cell>
          <cell r="BF151">
            <v>20.29</v>
          </cell>
          <cell r="BG151">
            <v>20.350000000000001</v>
          </cell>
          <cell r="BH151">
            <v>20.309999999999999</v>
          </cell>
        </row>
        <row r="152">
          <cell r="A152" t="str">
            <v>SI1630_20250812</v>
          </cell>
          <cell r="B152" t="str">
            <v>장세래</v>
          </cell>
          <cell r="C152">
            <v>45894</v>
          </cell>
          <cell r="D152" t="str">
            <v>설화수 진설명작크림 (견) 5ML (AD 외캡</v>
          </cell>
          <cell r="E152" t="str">
            <v>내경</v>
          </cell>
          <cell r="F152">
            <v>40.07</v>
          </cell>
          <cell r="G152">
            <v>40.049999999999997</v>
          </cell>
          <cell r="H152">
            <v>40.03</v>
          </cell>
          <cell r="I152">
            <v>40.049999999999997</v>
          </cell>
          <cell r="V152" t="str">
            <v>키잡이</v>
          </cell>
          <cell r="AM152" t="str">
            <v>외경</v>
          </cell>
          <cell r="AN152">
            <v>46.91</v>
          </cell>
          <cell r="AO152">
            <v>46.93</v>
          </cell>
          <cell r="AP152">
            <v>46.9</v>
          </cell>
          <cell r="AQ152">
            <v>46.93</v>
          </cell>
          <cell r="BD152">
            <v>27.32</v>
          </cell>
          <cell r="BE152">
            <v>11.57</v>
          </cell>
          <cell r="BF152">
            <v>11.59</v>
          </cell>
          <cell r="BG152">
            <v>11.59</v>
          </cell>
          <cell r="BH152">
            <v>11.58</v>
          </cell>
        </row>
        <row r="153">
          <cell r="A153" t="str">
            <v>SI1626_20250812</v>
          </cell>
          <cell r="B153">
            <v>0</v>
          </cell>
          <cell r="C153">
            <v>0</v>
          </cell>
          <cell r="D153" t="str">
            <v>설화수 진설명작크림 (견) 10ML (AD 내캡</v>
          </cell>
          <cell r="E153" t="str">
            <v>내경</v>
          </cell>
          <cell r="V153" t="str">
            <v>외경</v>
          </cell>
          <cell r="W153">
            <v>51.88</v>
          </cell>
          <cell r="X153">
            <v>51.86</v>
          </cell>
          <cell r="Y153">
            <v>81.84</v>
          </cell>
          <cell r="Z153">
            <v>51.85</v>
          </cell>
          <cell r="AM153" t="str">
            <v>키잡이</v>
          </cell>
          <cell r="AN153">
            <v>51.55</v>
          </cell>
          <cell r="AO153">
            <v>51.56</v>
          </cell>
          <cell r="AP153">
            <v>51.55</v>
          </cell>
          <cell r="AQ153">
            <v>51.58</v>
          </cell>
          <cell r="BE153">
            <v>7.92</v>
          </cell>
          <cell r="BF153">
            <v>7.93</v>
          </cell>
          <cell r="BG153">
            <v>7.91</v>
          </cell>
          <cell r="BH153">
            <v>7.82</v>
          </cell>
        </row>
        <row r="154">
          <cell r="A154" t="str">
            <v>SI1631_20250812</v>
          </cell>
          <cell r="B154">
            <v>0</v>
          </cell>
          <cell r="C154">
            <v>0</v>
          </cell>
          <cell r="D154" t="str">
            <v>설화수 진설명작크림 (견) 5ML (AD 내캡</v>
          </cell>
          <cell r="E154" t="str">
            <v>나사경</v>
          </cell>
          <cell r="F154">
            <v>34.880000000000003</v>
          </cell>
          <cell r="G154">
            <v>34.89</v>
          </cell>
          <cell r="H154">
            <v>34.880000000000003</v>
          </cell>
          <cell r="I154">
            <v>34.869999999999997</v>
          </cell>
          <cell r="V154" t="str">
            <v>외경</v>
          </cell>
          <cell r="W154">
            <v>41.5</v>
          </cell>
          <cell r="X154">
            <v>41.52</v>
          </cell>
          <cell r="Y154">
            <v>41.53</v>
          </cell>
          <cell r="Z154">
            <v>41.48</v>
          </cell>
          <cell r="AM154" t="str">
            <v>키잡이</v>
          </cell>
          <cell r="AN154">
            <v>40.96</v>
          </cell>
          <cell r="AO154">
            <v>40.94</v>
          </cell>
          <cell r="AP154">
            <v>40.92</v>
          </cell>
          <cell r="AQ154">
            <v>40.92</v>
          </cell>
          <cell r="BE154">
            <v>5.0599999999999996</v>
          </cell>
          <cell r="BF154">
            <v>5.04</v>
          </cell>
          <cell r="BG154">
            <v>5</v>
          </cell>
          <cell r="BH154">
            <v>5</v>
          </cell>
        </row>
        <row r="155">
          <cell r="A155" t="str">
            <v>test</v>
          </cell>
        </row>
        <row r="156">
          <cell r="A156" t="str">
            <v>SI1614_20250812</v>
          </cell>
          <cell r="B156" t="str">
            <v>유재호</v>
          </cell>
          <cell r="C156">
            <v>45889</v>
          </cell>
          <cell r="D156" t="str">
            <v>설화수 진설명작크림 60ML (26AD 내캡</v>
          </cell>
          <cell r="E156" t="str">
            <v>키잡이</v>
          </cell>
          <cell r="F156">
            <v>82.42</v>
          </cell>
          <cell r="G156">
            <v>82.43</v>
          </cell>
          <cell r="V156" t="str">
            <v>언더컷</v>
          </cell>
          <cell r="W156">
            <v>81.260000000000005</v>
          </cell>
          <cell r="X156">
            <v>81.28</v>
          </cell>
          <cell r="AM156" t="str">
            <v>언더컷2</v>
          </cell>
          <cell r="BD156">
            <v>9.35</v>
          </cell>
          <cell r="BE156">
            <v>23.46</v>
          </cell>
          <cell r="BF156">
            <v>23.47</v>
          </cell>
        </row>
        <row r="157">
          <cell r="A157" t="str">
            <v>SI1623_20250812</v>
          </cell>
          <cell r="B157" t="str">
            <v>유재호</v>
          </cell>
          <cell r="C157">
            <v>45888</v>
          </cell>
          <cell r="D157" t="str">
            <v>설화수 진설명작크림 리필 60ML (26AD 단캡</v>
          </cell>
          <cell r="E157" t="str">
            <v>외경</v>
          </cell>
          <cell r="F157">
            <v>77.66</v>
          </cell>
          <cell r="G157">
            <v>77.67</v>
          </cell>
          <cell r="V157" t="str">
            <v>내경</v>
          </cell>
          <cell r="W157">
            <v>73.58</v>
          </cell>
          <cell r="X157">
            <v>73.569999999999993</v>
          </cell>
          <cell r="AM157" t="str">
            <v>A</v>
          </cell>
          <cell r="BD157">
            <v>8.65</v>
          </cell>
          <cell r="BE157">
            <v>14.11</v>
          </cell>
          <cell r="BF157">
            <v>14.07</v>
          </cell>
        </row>
        <row r="158">
          <cell r="A158" t="str">
            <v>SI1622_20250812</v>
          </cell>
          <cell r="B158" t="str">
            <v>유재호</v>
          </cell>
          <cell r="C158">
            <v>45883</v>
          </cell>
          <cell r="D158" t="str">
            <v>설화수 진설명작크림 60ML (26AD 스파츌러대 사출</v>
          </cell>
          <cell r="E158" t="str">
            <v>외경</v>
          </cell>
          <cell r="F158">
            <v>62.75</v>
          </cell>
          <cell r="G158">
            <v>62.74</v>
          </cell>
          <cell r="H158">
            <v>62.75</v>
          </cell>
          <cell r="I158">
            <v>62.76</v>
          </cell>
          <cell r="V158" t="str">
            <v>외고</v>
          </cell>
          <cell r="AM158">
            <v>0</v>
          </cell>
          <cell r="BD158">
            <v>14.74</v>
          </cell>
          <cell r="BE158">
            <v>2.4700000000000002</v>
          </cell>
          <cell r="BF158">
            <v>2.4700000000000002</v>
          </cell>
          <cell r="BG158">
            <v>2.4700000000000002</v>
          </cell>
          <cell r="BH158">
            <v>2.4500000000000002</v>
          </cell>
        </row>
        <row r="159">
          <cell r="A159" t="str">
            <v>test_20250817</v>
          </cell>
          <cell r="F159">
            <v>10</v>
          </cell>
          <cell r="G159">
            <v>10</v>
          </cell>
          <cell r="H159">
            <v>10.1</v>
          </cell>
          <cell r="I159">
            <v>10.199999999999999</v>
          </cell>
          <cell r="J159">
            <v>10.3</v>
          </cell>
          <cell r="K159">
            <v>10.4</v>
          </cell>
          <cell r="L159">
            <v>10.5</v>
          </cell>
          <cell r="W159">
            <v>20</v>
          </cell>
          <cell r="X159">
            <v>20.3</v>
          </cell>
          <cell r="Y159">
            <v>20.399999999999999</v>
          </cell>
          <cell r="Z159">
            <v>20</v>
          </cell>
          <cell r="AA159">
            <v>20</v>
          </cell>
          <cell r="AB159">
            <v>20</v>
          </cell>
          <cell r="AC159">
            <v>20</v>
          </cell>
          <cell r="AN159">
            <v>30</v>
          </cell>
          <cell r="AO159">
            <v>30.1</v>
          </cell>
          <cell r="AP159">
            <v>30.2</v>
          </cell>
          <cell r="AQ159">
            <v>30.3</v>
          </cell>
          <cell r="AR159">
            <v>30.4</v>
          </cell>
          <cell r="AS159">
            <v>30</v>
          </cell>
          <cell r="AT159">
            <v>30</v>
          </cell>
          <cell r="AU159">
            <v>30</v>
          </cell>
          <cell r="BD159">
            <v>100</v>
          </cell>
          <cell r="BE159">
            <v>10</v>
          </cell>
          <cell r="BF159">
            <v>10</v>
          </cell>
          <cell r="BG159">
            <v>10</v>
          </cell>
          <cell r="BH159">
            <v>10</v>
          </cell>
          <cell r="BI159">
            <v>10</v>
          </cell>
          <cell r="BJ159">
            <v>10</v>
          </cell>
          <cell r="BK159">
            <v>103</v>
          </cell>
          <cell r="BL159">
            <v>10</v>
          </cell>
        </row>
        <row r="160">
          <cell r="A160" t="str">
            <v>SI1620_20250812</v>
          </cell>
          <cell r="B160" t="str">
            <v>유재호</v>
          </cell>
          <cell r="C160">
            <v>45883</v>
          </cell>
          <cell r="D160" t="str">
            <v>설화수 진설명작크림 60ML (26AD 용기받침 사출</v>
          </cell>
          <cell r="E160" t="str">
            <v>외경</v>
          </cell>
          <cell r="F160">
            <v>90.57</v>
          </cell>
          <cell r="G160">
            <v>90.58</v>
          </cell>
          <cell r="V160" t="str">
            <v>언더컷</v>
          </cell>
          <cell r="W160">
            <v>76.22</v>
          </cell>
          <cell r="X160">
            <v>76.23</v>
          </cell>
          <cell r="AM160">
            <v>0</v>
          </cell>
          <cell r="BD160">
            <v>7.45</v>
          </cell>
          <cell r="BE160">
            <v>20.149999999999999</v>
          </cell>
          <cell r="BF160">
            <v>20.16</v>
          </cell>
        </row>
        <row r="161">
          <cell r="A161" t="str">
            <v>SI1617_20250812</v>
          </cell>
          <cell r="B161" t="str">
            <v>유재호</v>
          </cell>
          <cell r="C161">
            <v>45882</v>
          </cell>
          <cell r="D161" t="str">
            <v>설화수 진설명작크림 60ML (26AD 중용기</v>
          </cell>
          <cell r="E161" t="str">
            <v>외경</v>
          </cell>
          <cell r="F161">
            <v>64.849999999999994</v>
          </cell>
          <cell r="G161">
            <v>64.86</v>
          </cell>
          <cell r="V161" t="str">
            <v>언더컷</v>
          </cell>
          <cell r="W161">
            <v>61.72</v>
          </cell>
          <cell r="X161">
            <v>61.73</v>
          </cell>
          <cell r="AM161">
            <v>0</v>
          </cell>
          <cell r="BD161">
            <v>6.63</v>
          </cell>
          <cell r="BE161">
            <v>12.33</v>
          </cell>
          <cell r="BF161">
            <v>12.32</v>
          </cell>
        </row>
        <row r="162">
          <cell r="A162" t="str">
            <v>SI1621_20250812</v>
          </cell>
          <cell r="B162" t="str">
            <v>유재호</v>
          </cell>
          <cell r="C162">
            <v>45882</v>
          </cell>
          <cell r="D162" t="str">
            <v>설화수 진설명작크림 60ML (26AD 숄더장식 사출</v>
          </cell>
          <cell r="E162" t="str">
            <v>외경</v>
          </cell>
          <cell r="F162">
            <v>94.23</v>
          </cell>
          <cell r="G162">
            <v>94.24</v>
          </cell>
          <cell r="V162" t="str">
            <v>언더컷</v>
          </cell>
          <cell r="AM162">
            <v>0</v>
          </cell>
          <cell r="BD162">
            <v>7.8</v>
          </cell>
          <cell r="BE162">
            <v>15.82</v>
          </cell>
          <cell r="BF162">
            <v>15.84</v>
          </cell>
        </row>
        <row r="163">
          <cell r="A163" t="str">
            <v>SI1615_20250812</v>
          </cell>
          <cell r="B163" t="str">
            <v>유재호</v>
          </cell>
          <cell r="C163">
            <v>45882</v>
          </cell>
          <cell r="D163" t="str">
            <v>설화수 진설명작크림 60ML (26AD 캡장식-하단링</v>
          </cell>
          <cell r="E163" t="str">
            <v>외경</v>
          </cell>
          <cell r="F163">
            <v>84.92</v>
          </cell>
          <cell r="G163">
            <v>84.93</v>
          </cell>
          <cell r="V163" t="str">
            <v>언더컷</v>
          </cell>
          <cell r="AM163">
            <v>0</v>
          </cell>
          <cell r="BD163">
            <v>2.38</v>
          </cell>
          <cell r="BE163">
            <v>3.34</v>
          </cell>
          <cell r="BF163">
            <v>3.33</v>
          </cell>
        </row>
        <row r="164">
          <cell r="A164" t="str">
            <v>SI1611_20250807</v>
          </cell>
          <cell r="B164" t="str">
            <v>장세래</v>
          </cell>
          <cell r="C164">
            <v>45876</v>
          </cell>
          <cell r="D164" t="str">
            <v>홀리추얼 울트라 너리싱 어드밴스드 토너 150ML 내캡</v>
          </cell>
          <cell r="E164" t="str">
            <v>A</v>
          </cell>
          <cell r="F164">
            <v>31.98</v>
          </cell>
          <cell r="G164">
            <v>31.99</v>
          </cell>
          <cell r="H164">
            <v>32</v>
          </cell>
          <cell r="I164">
            <v>31.99</v>
          </cell>
          <cell r="V164" t="str">
            <v>B</v>
          </cell>
          <cell r="AM164" t="str">
            <v>C</v>
          </cell>
          <cell r="BD164">
            <v>15.42</v>
          </cell>
          <cell r="BE164">
            <v>5.62</v>
          </cell>
          <cell r="BF164">
            <v>5.64</v>
          </cell>
          <cell r="BG164">
            <v>5.61</v>
          </cell>
          <cell r="BH164">
            <v>5.61</v>
          </cell>
        </row>
        <row r="165">
          <cell r="A165" t="str">
            <v>SI1626_20250708</v>
          </cell>
          <cell r="B165" t="str">
            <v>유재호</v>
          </cell>
          <cell r="C165">
            <v>45869</v>
          </cell>
          <cell r="D165" t="str">
            <v>설화수 진설명작크림 (견) 10ML (AD 내캡</v>
          </cell>
          <cell r="E165" t="str">
            <v>내경</v>
          </cell>
          <cell r="V165" t="str">
            <v>외경</v>
          </cell>
          <cell r="W165">
            <v>51.84</v>
          </cell>
          <cell r="X165">
            <v>51.85</v>
          </cell>
          <cell r="Y165">
            <v>51.86</v>
          </cell>
          <cell r="Z165">
            <v>51.84</v>
          </cell>
          <cell r="AM165" t="str">
            <v>키잡이</v>
          </cell>
          <cell r="AN165">
            <v>51.63</v>
          </cell>
          <cell r="AO165">
            <v>51.64</v>
          </cell>
          <cell r="AP165">
            <v>51.66</v>
          </cell>
          <cell r="AQ165">
            <v>51.66</v>
          </cell>
          <cell r="BD165">
            <v>18.850000000000001</v>
          </cell>
          <cell r="BE165">
            <v>7.78</v>
          </cell>
          <cell r="BF165">
            <v>7.69</v>
          </cell>
          <cell r="BG165">
            <v>7.84</v>
          </cell>
          <cell r="BH165">
            <v>7.79</v>
          </cell>
        </row>
        <row r="166">
          <cell r="A166" t="str">
            <v>SI1631_20250708</v>
          </cell>
          <cell r="B166" t="str">
            <v>유재호</v>
          </cell>
          <cell r="C166">
            <v>45869</v>
          </cell>
          <cell r="D166" t="str">
            <v>설화수 진설명작크림 (견) 5ML (AD 내캡</v>
          </cell>
          <cell r="E166" t="str">
            <v>나사경</v>
          </cell>
          <cell r="V166" t="str">
            <v>외경</v>
          </cell>
          <cell r="W166">
            <v>41.46</v>
          </cell>
          <cell r="X166">
            <v>41.47</v>
          </cell>
          <cell r="Y166">
            <v>41.47</v>
          </cell>
          <cell r="Z166">
            <v>41.46</v>
          </cell>
          <cell r="AM166" t="str">
            <v>키잡이</v>
          </cell>
          <cell r="AN166">
            <v>41.01</v>
          </cell>
          <cell r="AO166">
            <v>41.02</v>
          </cell>
          <cell r="AP166">
            <v>41.01</v>
          </cell>
          <cell r="AQ166">
            <v>41</v>
          </cell>
          <cell r="BD166">
            <v>19.04</v>
          </cell>
          <cell r="BE166">
            <v>4.87</v>
          </cell>
          <cell r="BF166">
            <v>4.88</v>
          </cell>
          <cell r="BG166">
            <v>4.88</v>
          </cell>
          <cell r="BH166">
            <v>4.8499999999999996</v>
          </cell>
        </row>
        <row r="167">
          <cell r="A167" t="str">
            <v>SI1632_20250708</v>
          </cell>
          <cell r="B167" t="str">
            <v>유재호</v>
          </cell>
          <cell r="C167">
            <v>45869</v>
          </cell>
          <cell r="D167" t="str">
            <v>설화수 진설명작크림 (견) 5ML (AD 단용기</v>
          </cell>
          <cell r="E167" t="str">
            <v>입구경</v>
          </cell>
          <cell r="V167" t="str">
            <v>나사경</v>
          </cell>
          <cell r="W167">
            <v>36.03</v>
          </cell>
          <cell r="X167">
            <v>36.03</v>
          </cell>
          <cell r="Y167">
            <v>36.04</v>
          </cell>
          <cell r="Z167">
            <v>36.03</v>
          </cell>
          <cell r="AM167" t="str">
            <v>외경</v>
          </cell>
          <cell r="AN167">
            <v>36.229999999999997</v>
          </cell>
          <cell r="AO167">
            <v>36.24</v>
          </cell>
          <cell r="AP167">
            <v>36.25</v>
          </cell>
          <cell r="AQ167">
            <v>36.229999999999997</v>
          </cell>
          <cell r="BD167">
            <v>16.510000000000002</v>
          </cell>
          <cell r="BE167">
            <v>5.2</v>
          </cell>
          <cell r="BF167">
            <v>5.22</v>
          </cell>
          <cell r="BG167">
            <v>5.22</v>
          </cell>
          <cell r="BH167">
            <v>5.22</v>
          </cell>
        </row>
        <row r="168">
          <cell r="A168" t="str">
            <v>SI1628_20250708</v>
          </cell>
          <cell r="B168" t="str">
            <v>유재호</v>
          </cell>
          <cell r="C168">
            <v>45869</v>
          </cell>
          <cell r="D168" t="str">
            <v>설화수 진설명작크림 (견) 10ML (AD 단용기</v>
          </cell>
          <cell r="E168" t="str">
            <v>나사경</v>
          </cell>
          <cell r="F168">
            <v>46.59</v>
          </cell>
          <cell r="G168">
            <v>46.6</v>
          </cell>
          <cell r="H168">
            <v>46.6</v>
          </cell>
          <cell r="I168">
            <v>46.58</v>
          </cell>
          <cell r="V168" t="str">
            <v>외경</v>
          </cell>
          <cell r="W168">
            <v>46.87</v>
          </cell>
          <cell r="X168">
            <v>46.88</v>
          </cell>
          <cell r="Y168">
            <v>46.88</v>
          </cell>
          <cell r="Z168">
            <v>46.87</v>
          </cell>
          <cell r="AM168" t="str">
            <v>언더컷</v>
          </cell>
          <cell r="BD168">
            <v>12.95</v>
          </cell>
          <cell r="BE168">
            <v>8.73</v>
          </cell>
          <cell r="BF168">
            <v>8.9</v>
          </cell>
          <cell r="BG168">
            <v>8.74</v>
          </cell>
          <cell r="BH168">
            <v>8.86</v>
          </cell>
        </row>
        <row r="169">
          <cell r="A169" t="str">
            <v>SI1625_20250708</v>
          </cell>
          <cell r="B169" t="str">
            <v>유재호</v>
          </cell>
          <cell r="C169">
            <v>45867</v>
          </cell>
          <cell r="D169" t="str">
            <v>설화수 진설명작크림 (견) 10ML (AD 외캡</v>
          </cell>
          <cell r="E169" t="str">
            <v>내경</v>
          </cell>
          <cell r="V169" t="str">
            <v>외경</v>
          </cell>
          <cell r="W169">
            <v>58.36</v>
          </cell>
          <cell r="X169">
            <v>58.37</v>
          </cell>
          <cell r="Y169">
            <v>58.38</v>
          </cell>
          <cell r="Z169">
            <v>58.37</v>
          </cell>
          <cell r="AM169" t="str">
            <v>언더컷</v>
          </cell>
          <cell r="AN169">
            <v>50.47</v>
          </cell>
          <cell r="AO169">
            <v>50.48</v>
          </cell>
          <cell r="AP169">
            <v>50.49</v>
          </cell>
          <cell r="AQ169">
            <v>50.48</v>
          </cell>
          <cell r="BD169">
            <v>28.26</v>
          </cell>
          <cell r="BE169">
            <v>20.329999999999998</v>
          </cell>
          <cell r="BF169">
            <v>20.28</v>
          </cell>
          <cell r="BG169">
            <v>20.36</v>
          </cell>
          <cell r="BH169">
            <v>20.28</v>
          </cell>
        </row>
        <row r="170">
          <cell r="A170" t="str">
            <v>SI1630_20250708</v>
          </cell>
          <cell r="B170" t="str">
            <v>유재호</v>
          </cell>
          <cell r="C170">
            <v>45867</v>
          </cell>
          <cell r="D170" t="str">
            <v>설화수 진설명작크림 (견) 5ML (AD 외캡</v>
          </cell>
          <cell r="E170" t="str">
            <v>내경</v>
          </cell>
          <cell r="V170" t="str">
            <v>키잡이</v>
          </cell>
          <cell r="W170">
            <v>41.22</v>
          </cell>
          <cell r="X170">
            <v>41.21</v>
          </cell>
          <cell r="Y170">
            <v>41.22</v>
          </cell>
          <cell r="Z170">
            <v>41.23</v>
          </cell>
          <cell r="AM170" t="str">
            <v>외경</v>
          </cell>
          <cell r="AN170">
            <v>46.92</v>
          </cell>
          <cell r="AO170">
            <v>46.93</v>
          </cell>
          <cell r="AP170">
            <v>46.93</v>
          </cell>
          <cell r="AQ170">
            <v>46.92</v>
          </cell>
          <cell r="BD170">
            <v>27.2</v>
          </cell>
          <cell r="BE170">
            <v>11.61</v>
          </cell>
          <cell r="BF170">
            <v>11.59</v>
          </cell>
          <cell r="BG170">
            <v>11.59</v>
          </cell>
          <cell r="BH170">
            <v>11.56</v>
          </cell>
        </row>
        <row r="171">
          <cell r="A171" t="str">
            <v>SI1633_20250708</v>
          </cell>
          <cell r="B171" t="str">
            <v>유재호</v>
          </cell>
          <cell r="C171">
            <v>45868</v>
          </cell>
          <cell r="D171" t="str">
            <v>설화수 진설명작크림 (견) 5ML (AD 용기받침</v>
          </cell>
          <cell r="E171" t="str">
            <v>언더컷</v>
          </cell>
          <cell r="F171">
            <v>33.74</v>
          </cell>
          <cell r="G171">
            <v>33.770000000000003</v>
          </cell>
          <cell r="H171">
            <v>33.76</v>
          </cell>
          <cell r="I171">
            <v>33.75</v>
          </cell>
          <cell r="V171" t="str">
            <v>키잡이</v>
          </cell>
          <cell r="AM171" t="str">
            <v>외경</v>
          </cell>
          <cell r="AN171">
            <v>48.2</v>
          </cell>
          <cell r="AO171">
            <v>48.21</v>
          </cell>
          <cell r="AP171">
            <v>48.22</v>
          </cell>
          <cell r="AQ171">
            <v>48.2</v>
          </cell>
          <cell r="BD171">
            <v>24.22</v>
          </cell>
          <cell r="BE171">
            <v>5.61</v>
          </cell>
          <cell r="BF171">
            <v>5.66</v>
          </cell>
          <cell r="BG171">
            <v>5.65</v>
          </cell>
          <cell r="BH171">
            <v>5.66</v>
          </cell>
        </row>
        <row r="172">
          <cell r="A172" t="str">
            <v>SI1627_20250708</v>
          </cell>
          <cell r="B172" t="str">
            <v>유재호</v>
          </cell>
          <cell r="C172">
            <v>45867</v>
          </cell>
          <cell r="D172" t="str">
            <v>설화수 진설명작크림 (견) 10ML (AD 용기받침</v>
          </cell>
          <cell r="E172" t="str">
            <v>내경</v>
          </cell>
          <cell r="V172" t="str">
            <v>언더컷</v>
          </cell>
          <cell r="W172">
            <v>44.26</v>
          </cell>
          <cell r="X172">
            <v>44.27</v>
          </cell>
          <cell r="Y172">
            <v>44.24</v>
          </cell>
          <cell r="Z172">
            <v>44.27</v>
          </cell>
          <cell r="AM172" t="str">
            <v>외경</v>
          </cell>
          <cell r="AN172">
            <v>59.91</v>
          </cell>
          <cell r="AO172">
            <v>59.92</v>
          </cell>
          <cell r="AP172">
            <v>59.93</v>
          </cell>
          <cell r="AQ172">
            <v>59.91</v>
          </cell>
          <cell r="BD172">
            <v>23.97</v>
          </cell>
          <cell r="BE172">
            <v>9.25</v>
          </cell>
          <cell r="BF172">
            <v>9.25</v>
          </cell>
          <cell r="BG172">
            <v>9.27</v>
          </cell>
          <cell r="BH172">
            <v>9.24</v>
          </cell>
        </row>
        <row r="173">
          <cell r="A173" t="str">
            <v>SI1619_20250708</v>
          </cell>
          <cell r="B173" t="str">
            <v>유재호</v>
          </cell>
          <cell r="C173">
            <v>45862</v>
          </cell>
          <cell r="D173" t="str">
            <v>설화수 진설명작크림 60ML (26AD 외용기</v>
          </cell>
          <cell r="E173" t="str">
            <v>나사경</v>
          </cell>
          <cell r="F173">
            <v>76.349999999999994</v>
          </cell>
          <cell r="G173">
            <v>76.36</v>
          </cell>
          <cell r="V173" t="str">
            <v>입구경</v>
          </cell>
          <cell r="W173">
            <v>65.2</v>
          </cell>
          <cell r="X173">
            <v>65.180000000000007</v>
          </cell>
          <cell r="AM173" t="str">
            <v>C</v>
          </cell>
          <cell r="BD173">
            <v>12.48</v>
          </cell>
          <cell r="BE173">
            <v>59.61</v>
          </cell>
          <cell r="BF173">
            <v>59.56</v>
          </cell>
        </row>
        <row r="174">
          <cell r="A174" t="str">
            <v>SI1623_20250708</v>
          </cell>
          <cell r="B174" t="str">
            <v>유재호</v>
          </cell>
          <cell r="C174">
            <v>45862</v>
          </cell>
          <cell r="D174" t="str">
            <v>설화수 진설명작크림 리필 60ML (26AD 단캡</v>
          </cell>
          <cell r="E174" t="str">
            <v>외경</v>
          </cell>
          <cell r="F174">
            <v>77.66</v>
          </cell>
          <cell r="G174">
            <v>77.67</v>
          </cell>
          <cell r="V174" t="str">
            <v>내경</v>
          </cell>
          <cell r="W174">
            <v>73.53</v>
          </cell>
          <cell r="X174">
            <v>73.540000000000006</v>
          </cell>
          <cell r="AM174" t="str">
            <v>A</v>
          </cell>
          <cell r="BD174">
            <v>8.7200000000000006</v>
          </cell>
          <cell r="BE174">
            <v>14.12</v>
          </cell>
          <cell r="BF174">
            <v>14.08</v>
          </cell>
        </row>
        <row r="175">
          <cell r="A175" t="str">
            <v>SI1616_20250708</v>
          </cell>
          <cell r="B175" t="str">
            <v>유재호</v>
          </cell>
          <cell r="C175">
            <v>45861</v>
          </cell>
          <cell r="D175" t="str">
            <v>설화수 진설명작크림 60ML (26AD 사출덮개</v>
          </cell>
          <cell r="E175" t="str">
            <v>A</v>
          </cell>
          <cell r="F175">
            <v>58.01</v>
          </cell>
          <cell r="G175">
            <v>58.02</v>
          </cell>
          <cell r="V175" t="str">
            <v>외경</v>
          </cell>
          <cell r="W175">
            <v>62.93</v>
          </cell>
          <cell r="X175">
            <v>62.94</v>
          </cell>
          <cell r="AM175" t="str">
            <v>내경</v>
          </cell>
          <cell r="BD175">
            <v>8.4600000000000009</v>
          </cell>
          <cell r="BE175">
            <v>5.81</v>
          </cell>
          <cell r="BF175">
            <v>5.8</v>
          </cell>
        </row>
        <row r="176">
          <cell r="A176" t="str">
            <v>SI1629_20250708</v>
          </cell>
          <cell r="B176" t="str">
            <v>유재호</v>
          </cell>
          <cell r="C176">
            <v>45861</v>
          </cell>
          <cell r="D176" t="str">
            <v>설화수 진설명작크림 (견) 10ML (AD 사출덮개</v>
          </cell>
          <cell r="E176" t="str">
            <v>내경</v>
          </cell>
          <cell r="F176">
            <v>34.86</v>
          </cell>
          <cell r="G176">
            <v>34.869999999999997</v>
          </cell>
          <cell r="H176">
            <v>34.869999999999997</v>
          </cell>
          <cell r="I176">
            <v>34.86</v>
          </cell>
          <cell r="V176" t="str">
            <v>외경</v>
          </cell>
          <cell r="W176">
            <v>37.28</v>
          </cell>
          <cell r="X176">
            <v>37.29</v>
          </cell>
          <cell r="Y176">
            <v>37.29</v>
          </cell>
          <cell r="Z176">
            <v>37.28</v>
          </cell>
          <cell r="AM176" t="str">
            <v>외고</v>
          </cell>
          <cell r="BD176">
            <v>8.83</v>
          </cell>
          <cell r="BE176">
            <v>2.2000000000000002</v>
          </cell>
          <cell r="BF176">
            <v>2.1800000000000002</v>
          </cell>
          <cell r="BG176">
            <v>2.19</v>
          </cell>
          <cell r="BH176">
            <v>2.19</v>
          </cell>
        </row>
        <row r="177">
          <cell r="A177" t="str">
            <v>SI1634_20250723</v>
          </cell>
          <cell r="B177" t="str">
            <v>유재호</v>
          </cell>
          <cell r="C177">
            <v>45861</v>
          </cell>
          <cell r="D177" t="str">
            <v>설화수 진설명작크림 (견) 5ML (AD 사출덮개</v>
          </cell>
          <cell r="E177" t="str">
            <v>내경</v>
          </cell>
          <cell r="F177">
            <v>24.45</v>
          </cell>
          <cell r="G177">
            <v>24.46</v>
          </cell>
          <cell r="H177">
            <v>24.45</v>
          </cell>
          <cell r="I177">
            <v>24.45</v>
          </cell>
          <cell r="V177" t="str">
            <v>외경</v>
          </cell>
          <cell r="W177">
            <v>26.87</v>
          </cell>
          <cell r="X177">
            <v>26.88</v>
          </cell>
          <cell r="Y177">
            <v>26.88</v>
          </cell>
          <cell r="Z177">
            <v>26.87</v>
          </cell>
          <cell r="AM177" t="str">
            <v>외고</v>
          </cell>
          <cell r="BD177">
            <v>9.44</v>
          </cell>
          <cell r="BE177">
            <v>1.17</v>
          </cell>
          <cell r="BF177">
            <v>1.17</v>
          </cell>
          <cell r="BG177">
            <v>1.1599999999999999</v>
          </cell>
          <cell r="BH177">
            <v>1.17</v>
          </cell>
        </row>
        <row r="178">
          <cell r="A178" t="str">
            <v>SI1622_20250708</v>
          </cell>
          <cell r="B178" t="str">
            <v>유재호</v>
          </cell>
          <cell r="C178">
            <v>45859</v>
          </cell>
          <cell r="D178" t="str">
            <v>설화수 진설명작크림 60ML (26AD 스파츌러대 사출</v>
          </cell>
          <cell r="E178">
            <v>0</v>
          </cell>
          <cell r="V178">
            <v>0</v>
          </cell>
          <cell r="AM178">
            <v>0</v>
          </cell>
          <cell r="BD178">
            <v>11.3</v>
          </cell>
          <cell r="BE178">
            <v>20.399999999999999</v>
          </cell>
          <cell r="BF178">
            <v>20.6</v>
          </cell>
          <cell r="BG178">
            <v>20.5</v>
          </cell>
          <cell r="BH178">
            <v>20.5</v>
          </cell>
        </row>
        <row r="179">
          <cell r="A179" t="str">
            <v>SI1618_20250708</v>
          </cell>
          <cell r="B179" t="str">
            <v>유재호</v>
          </cell>
          <cell r="C179">
            <v>45860</v>
          </cell>
          <cell r="D179" t="str">
            <v>설화수 진설명작크림 60ML (26AD 내용기</v>
          </cell>
          <cell r="E179" t="str">
            <v>외경</v>
          </cell>
          <cell r="F179">
            <v>73.650000000000006</v>
          </cell>
          <cell r="G179">
            <v>73.67</v>
          </cell>
          <cell r="V179" t="str">
            <v>언더컷</v>
          </cell>
          <cell r="W179">
            <v>72.349999999999994</v>
          </cell>
          <cell r="X179">
            <v>72.36</v>
          </cell>
          <cell r="AM179" t="str">
            <v>내경</v>
          </cell>
          <cell r="BD179">
            <v>7.18</v>
          </cell>
          <cell r="BE179">
            <v>13.62</v>
          </cell>
          <cell r="BF179">
            <v>13.77</v>
          </cell>
        </row>
        <row r="180">
          <cell r="A180" t="str">
            <v>SI1620_20250708</v>
          </cell>
          <cell r="B180" t="str">
            <v>유재호</v>
          </cell>
          <cell r="C180">
            <v>45859</v>
          </cell>
          <cell r="D180" t="str">
            <v>설화수 진설명작크림 60ML (26AD 용기받침 사출</v>
          </cell>
          <cell r="E180" t="str">
            <v>외경</v>
          </cell>
          <cell r="F180">
            <v>90.55</v>
          </cell>
          <cell r="G180">
            <v>90.56</v>
          </cell>
          <cell r="V180" t="str">
            <v>언더컷</v>
          </cell>
          <cell r="W180">
            <v>76.3</v>
          </cell>
          <cell r="X180">
            <v>76.31</v>
          </cell>
          <cell r="AM180" t="str">
            <v>내경</v>
          </cell>
          <cell r="BD180">
            <v>7.41</v>
          </cell>
          <cell r="BE180">
            <v>19.809999999999999</v>
          </cell>
          <cell r="BF180">
            <v>20.22</v>
          </cell>
        </row>
        <row r="181">
          <cell r="A181" t="str">
            <v>SI1621_20250708</v>
          </cell>
          <cell r="B181" t="str">
            <v>유재호</v>
          </cell>
          <cell r="C181">
            <v>45859</v>
          </cell>
          <cell r="D181" t="str">
            <v>설화수 진설명작크림 60ML (26AD 숄더장식 사출</v>
          </cell>
          <cell r="E181" t="str">
            <v>외경</v>
          </cell>
          <cell r="F181">
            <v>94.32</v>
          </cell>
          <cell r="G181">
            <v>94.33</v>
          </cell>
          <cell r="V181" t="str">
            <v>내경1</v>
          </cell>
          <cell r="AM181" t="str">
            <v>내경2</v>
          </cell>
          <cell r="BE181">
            <v>15.95</v>
          </cell>
          <cell r="BF181">
            <v>16.05</v>
          </cell>
        </row>
        <row r="182">
          <cell r="A182" t="str">
            <v>SI1617_20250708</v>
          </cell>
          <cell r="B182">
            <v>0</v>
          </cell>
          <cell r="C182">
            <v>0</v>
          </cell>
          <cell r="D182" t="str">
            <v>설화수 진설명작크림 60ML (26AD 중용기</v>
          </cell>
          <cell r="E182" t="str">
            <v>내경</v>
          </cell>
          <cell r="F182">
            <v>64.75</v>
          </cell>
          <cell r="G182">
            <v>64.739999999999995</v>
          </cell>
          <cell r="V182" t="str">
            <v>내경</v>
          </cell>
          <cell r="W182">
            <v>61.75</v>
          </cell>
          <cell r="X182">
            <v>61.74</v>
          </cell>
          <cell r="AM182" t="str">
            <v>C</v>
          </cell>
          <cell r="BD182">
            <v>6.71</v>
          </cell>
          <cell r="BE182">
            <v>12.44</v>
          </cell>
          <cell r="BF182">
            <v>12.45</v>
          </cell>
        </row>
        <row r="183">
          <cell r="A183" t="str">
            <v>SI1615_20250708</v>
          </cell>
          <cell r="B183" t="str">
            <v>장세래</v>
          </cell>
          <cell r="C183">
            <v>45854</v>
          </cell>
          <cell r="D183" t="str">
            <v>설화수 진설명작크림 60ML (26AD 캡장식-하단링</v>
          </cell>
          <cell r="E183" t="str">
            <v>언더컷</v>
          </cell>
          <cell r="F183">
            <v>84.85</v>
          </cell>
          <cell r="G183">
            <v>84.87</v>
          </cell>
          <cell r="V183" t="str">
            <v>언더컷</v>
          </cell>
          <cell r="AM183" t="str">
            <v>입구경</v>
          </cell>
          <cell r="BD183">
            <v>2.56</v>
          </cell>
          <cell r="BE183">
            <v>3.41</v>
          </cell>
          <cell r="BF183">
            <v>3.42</v>
          </cell>
        </row>
        <row r="184">
          <cell r="A184" t="str">
            <v>SI1609_20250708</v>
          </cell>
          <cell r="B184" t="str">
            <v>장세래</v>
          </cell>
          <cell r="C184">
            <v>45854</v>
          </cell>
          <cell r="D184" t="str">
            <v>홀리추얼 울트라 너리싱 어드밴스드 토너 150ML 외캡 사출</v>
          </cell>
          <cell r="E184" t="str">
            <v>B</v>
          </cell>
          <cell r="F184">
            <v>37.07</v>
          </cell>
          <cell r="G184">
            <v>37.08</v>
          </cell>
          <cell r="H184">
            <v>37.08</v>
          </cell>
          <cell r="I184">
            <v>37.06</v>
          </cell>
          <cell r="V184" t="str">
            <v>B</v>
          </cell>
          <cell r="W184">
            <v>33.72</v>
          </cell>
          <cell r="X184">
            <v>33.71</v>
          </cell>
          <cell r="Y184">
            <v>33.71</v>
          </cell>
          <cell r="Z184">
            <v>33.74</v>
          </cell>
          <cell r="AM184" t="str">
            <v>C</v>
          </cell>
          <cell r="BD184">
            <v>24.12</v>
          </cell>
          <cell r="BE184">
            <v>12.58</v>
          </cell>
          <cell r="BF184">
            <v>12.59</v>
          </cell>
          <cell r="BG184">
            <v>12.61</v>
          </cell>
          <cell r="BH184">
            <v>12.61</v>
          </cell>
        </row>
        <row r="185">
          <cell r="A185" t="str">
            <v>SI1614_20250708</v>
          </cell>
          <cell r="B185" t="str">
            <v>장세래</v>
          </cell>
          <cell r="C185">
            <v>45853</v>
          </cell>
          <cell r="D185" t="str">
            <v>설화수 진설명작크림 60ML (26AD 내캡</v>
          </cell>
          <cell r="E185" t="str">
            <v>외경</v>
          </cell>
          <cell r="F185">
            <v>81.31</v>
          </cell>
          <cell r="G185">
            <v>81.27</v>
          </cell>
          <cell r="V185" t="str">
            <v>외경</v>
          </cell>
          <cell r="AM185" t="str">
            <v>나사경</v>
          </cell>
          <cell r="BD185">
            <v>8.9499999999999993</v>
          </cell>
          <cell r="BE185">
            <v>23.75</v>
          </cell>
          <cell r="BF185">
            <v>23.77</v>
          </cell>
        </row>
        <row r="186">
          <cell r="A186" t="str">
            <v>SI1610_20250703</v>
          </cell>
          <cell r="B186" t="str">
            <v>장세래</v>
          </cell>
          <cell r="C186">
            <v>45841</v>
          </cell>
          <cell r="D186" t="str">
            <v>홀리추얼 울트라 너리싱 어드밴스드 토너 150ML 캡장식 사출</v>
          </cell>
          <cell r="E186" t="str">
            <v>B</v>
          </cell>
          <cell r="F186">
            <v>36.86</v>
          </cell>
          <cell r="G186">
            <v>36.85</v>
          </cell>
          <cell r="H186">
            <v>36.840000000000003</v>
          </cell>
          <cell r="I186">
            <v>36.81</v>
          </cell>
          <cell r="V186" t="str">
            <v>B</v>
          </cell>
          <cell r="W186">
            <v>32.74</v>
          </cell>
          <cell r="X186">
            <v>32.729999999999997</v>
          </cell>
          <cell r="Y186">
            <v>32.71</v>
          </cell>
          <cell r="Z186">
            <v>32.71</v>
          </cell>
          <cell r="AM186">
            <v>0</v>
          </cell>
          <cell r="BD186">
            <v>26.05</v>
          </cell>
          <cell r="BE186">
            <v>2.08</v>
          </cell>
          <cell r="BF186">
            <v>2.08</v>
          </cell>
          <cell r="BG186">
            <v>2.08</v>
          </cell>
          <cell r="BH186">
            <v>2.08</v>
          </cell>
        </row>
        <row r="187">
          <cell r="A187" t="str">
            <v>SI1609_20250703</v>
          </cell>
          <cell r="B187">
            <v>0</v>
          </cell>
          <cell r="C187">
            <v>45841</v>
          </cell>
          <cell r="D187" t="str">
            <v>홀리추얼 울트라 너리싱 어드밴스드 토너 150ML 외캡 사출</v>
          </cell>
          <cell r="E187" t="str">
            <v>B</v>
          </cell>
          <cell r="F187">
            <v>36.880000000000003</v>
          </cell>
          <cell r="G187">
            <v>36.869999999999997</v>
          </cell>
          <cell r="H187">
            <v>36.81</v>
          </cell>
          <cell r="I187">
            <v>36.85</v>
          </cell>
          <cell r="V187" t="str">
            <v>B</v>
          </cell>
          <cell r="W187">
            <v>32.74</v>
          </cell>
          <cell r="X187">
            <v>32.74</v>
          </cell>
          <cell r="Y187">
            <v>32.729999999999997</v>
          </cell>
          <cell r="Z187">
            <v>32.71</v>
          </cell>
          <cell r="AM187" t="str">
            <v>C</v>
          </cell>
          <cell r="BD187">
            <v>26.05</v>
          </cell>
          <cell r="BE187">
            <v>2.08</v>
          </cell>
          <cell r="BF187">
            <v>2.08</v>
          </cell>
          <cell r="BG187">
            <v>2.08</v>
          </cell>
          <cell r="BH187">
            <v>2.08</v>
          </cell>
        </row>
        <row r="188">
          <cell r="A188" t="str">
            <v>SI1609_20250703</v>
          </cell>
          <cell r="B188">
            <v>0</v>
          </cell>
          <cell r="C188">
            <v>45841</v>
          </cell>
          <cell r="D188" t="str">
            <v>홀리추얼 울트라 너리싱 어드밴스드 토너 150ML 외캡 사출</v>
          </cell>
          <cell r="E188" t="str">
            <v>B</v>
          </cell>
          <cell r="F188">
            <v>37.11</v>
          </cell>
          <cell r="G188">
            <v>37.11</v>
          </cell>
          <cell r="H188">
            <v>37.119999999999997</v>
          </cell>
          <cell r="I188">
            <v>37.119999999999997</v>
          </cell>
          <cell r="V188" t="str">
            <v>B</v>
          </cell>
          <cell r="W188">
            <v>33.729999999999997</v>
          </cell>
          <cell r="X188">
            <v>33.76</v>
          </cell>
          <cell r="Y188">
            <v>33.72</v>
          </cell>
          <cell r="Z188">
            <v>33.71</v>
          </cell>
          <cell r="AM188" t="str">
            <v>C</v>
          </cell>
          <cell r="BD188">
            <v>23.15</v>
          </cell>
          <cell r="BE188">
            <v>12.65</v>
          </cell>
          <cell r="BF188">
            <v>12.69</v>
          </cell>
          <cell r="BG188">
            <v>12.68</v>
          </cell>
          <cell r="BH188">
            <v>12.68</v>
          </cell>
        </row>
        <row r="189">
          <cell r="A189" t="str">
            <v>SI1611_20250703</v>
          </cell>
          <cell r="B189" t="str">
            <v>장세래</v>
          </cell>
          <cell r="C189">
            <v>45841</v>
          </cell>
          <cell r="D189" t="str">
            <v>홀리추얼 울트라 너리싱 어드밴스드 토너 150ML 내캡</v>
          </cell>
          <cell r="E189" t="str">
            <v>B</v>
          </cell>
          <cell r="F189">
            <v>31.98</v>
          </cell>
          <cell r="G189">
            <v>31.98</v>
          </cell>
          <cell r="H189">
            <v>32.01</v>
          </cell>
          <cell r="I189">
            <v>31.99</v>
          </cell>
          <cell r="V189" t="str">
            <v>B</v>
          </cell>
          <cell r="AM189" t="str">
            <v>C</v>
          </cell>
          <cell r="AN189">
            <v>18.829999999999998</v>
          </cell>
          <cell r="AO189">
            <v>18.809999999999999</v>
          </cell>
          <cell r="AP189">
            <v>18.809999999999999</v>
          </cell>
          <cell r="AQ189">
            <v>18.809999999999999</v>
          </cell>
          <cell r="BD189">
            <v>15.31</v>
          </cell>
          <cell r="BE189">
            <v>5.55</v>
          </cell>
          <cell r="BF189">
            <v>5.59</v>
          </cell>
          <cell r="BG189">
            <v>5.53</v>
          </cell>
          <cell r="BH189">
            <v>5.57</v>
          </cell>
        </row>
        <row r="190">
          <cell r="A190" t="str">
            <v>SI1606_20250630</v>
          </cell>
          <cell r="B190" t="str">
            <v>유재호</v>
          </cell>
          <cell r="C190">
            <v>45840</v>
          </cell>
          <cell r="D190" t="str">
            <v>(EUSA)라네즈 실키앤스무스 토너 150mL (26 내캡</v>
          </cell>
          <cell r="E190" t="str">
            <v>나사경</v>
          </cell>
          <cell r="F190">
            <v>22.61</v>
          </cell>
          <cell r="G190">
            <v>22.62</v>
          </cell>
          <cell r="H190">
            <v>22.62</v>
          </cell>
          <cell r="I190">
            <v>22.63</v>
          </cell>
          <cell r="J190">
            <v>22.61</v>
          </cell>
          <cell r="K190">
            <v>22.62</v>
          </cell>
          <cell r="L190">
            <v>22.62</v>
          </cell>
          <cell r="M190">
            <v>22.61</v>
          </cell>
          <cell r="V190" t="str">
            <v>언더컷</v>
          </cell>
          <cell r="W190">
            <v>48.2</v>
          </cell>
          <cell r="X190">
            <v>48.21</v>
          </cell>
          <cell r="Y190">
            <v>48.22</v>
          </cell>
          <cell r="Z190">
            <v>48.21</v>
          </cell>
          <cell r="AA190">
            <v>48.22</v>
          </cell>
          <cell r="AB190">
            <v>48.22</v>
          </cell>
          <cell r="AC190">
            <v>48.21</v>
          </cell>
          <cell r="AD190">
            <v>48.22</v>
          </cell>
          <cell r="AM190" t="str">
            <v>외경</v>
          </cell>
          <cell r="BD190">
            <v>39.28</v>
          </cell>
          <cell r="BE190">
            <v>9.17</v>
          </cell>
          <cell r="BF190">
            <v>9.3800000000000008</v>
          </cell>
          <cell r="BG190">
            <v>9.14</v>
          </cell>
          <cell r="BH190">
            <v>9.17</v>
          </cell>
          <cell r="BI190">
            <v>9.14</v>
          </cell>
          <cell r="BJ190">
            <v>9.36</v>
          </cell>
          <cell r="BK190">
            <v>9.1300000000000008</v>
          </cell>
          <cell r="BL190">
            <v>9.3699999999999992</v>
          </cell>
        </row>
        <row r="191">
          <cell r="A191" t="str">
            <v>SI1600_20250623</v>
          </cell>
          <cell r="B191" t="str">
            <v>유재호</v>
          </cell>
          <cell r="C191">
            <v>45835</v>
          </cell>
          <cell r="D191" t="str">
            <v>미쟝센 퍼펙트 오일 인퓨전 헤어 마스크150g(25 단캡</v>
          </cell>
          <cell r="E191" t="str">
            <v>나사경</v>
          </cell>
          <cell r="F191">
            <v>69.209999999999994</v>
          </cell>
          <cell r="G191">
            <v>69.209999999999994</v>
          </cell>
          <cell r="H191">
            <v>69.209999999999994</v>
          </cell>
          <cell r="I191">
            <v>69.22</v>
          </cell>
          <cell r="V191" t="str">
            <v>외경</v>
          </cell>
          <cell r="W191">
            <v>79.83</v>
          </cell>
          <cell r="X191">
            <v>79.819999999999993</v>
          </cell>
          <cell r="Y191">
            <v>79.81</v>
          </cell>
          <cell r="Z191">
            <v>79.819999999999993</v>
          </cell>
          <cell r="AM191">
            <v>0</v>
          </cell>
          <cell r="BD191">
            <v>36.44</v>
          </cell>
          <cell r="BE191">
            <v>17.95</v>
          </cell>
          <cell r="BF191">
            <v>17.989999999999998</v>
          </cell>
          <cell r="BG191">
            <v>18</v>
          </cell>
          <cell r="BH191">
            <v>18.03</v>
          </cell>
        </row>
        <row r="192">
          <cell r="A192" t="str">
            <v>SI1601_20250618</v>
          </cell>
          <cell r="B192" t="str">
            <v>한창구</v>
          </cell>
          <cell r="C192">
            <v>45835</v>
          </cell>
          <cell r="D192" t="str">
            <v>미쟝센 퍼펙트 오일 인퓨전 헤어 마스크150g(25 단용기</v>
          </cell>
          <cell r="E192" t="str">
            <v>나사경</v>
          </cell>
          <cell r="F192">
            <v>70.47</v>
          </cell>
          <cell r="G192">
            <v>70.459999999999994</v>
          </cell>
          <cell r="H192">
            <v>70.459999999999994</v>
          </cell>
          <cell r="I192">
            <v>70.47</v>
          </cell>
          <cell r="V192" t="str">
            <v>외경</v>
          </cell>
          <cell r="AM192">
            <v>0</v>
          </cell>
          <cell r="BD192">
            <v>37.159999999999997</v>
          </cell>
          <cell r="BE192">
            <v>57.46</v>
          </cell>
          <cell r="BF192">
            <v>57.35</v>
          </cell>
          <cell r="BG192">
            <v>57.48</v>
          </cell>
          <cell r="BH192">
            <v>57.46</v>
          </cell>
        </row>
        <row r="193">
          <cell r="A193" t="str">
            <v>SI1606_20250618</v>
          </cell>
          <cell r="B193" t="str">
            <v>장세래</v>
          </cell>
          <cell r="C193">
            <v>45833</v>
          </cell>
          <cell r="D193" t="str">
            <v>(EUSA)라네즈 실키앤스무스 토너 150mL (26 내캡</v>
          </cell>
          <cell r="E193">
            <v>1</v>
          </cell>
          <cell r="V193" t="str">
            <v>언더컷</v>
          </cell>
          <cell r="W193">
            <v>48.28</v>
          </cell>
          <cell r="X193">
            <v>48.29</v>
          </cell>
          <cell r="Y193">
            <v>48.31</v>
          </cell>
          <cell r="Z193">
            <v>48.24</v>
          </cell>
          <cell r="AA193">
            <v>48.24</v>
          </cell>
          <cell r="AB193">
            <v>48.29</v>
          </cell>
          <cell r="AC193">
            <v>48.27</v>
          </cell>
          <cell r="AD193">
            <v>48.27</v>
          </cell>
          <cell r="AM193" t="str">
            <v>외경</v>
          </cell>
          <cell r="AN193">
            <v>48.74</v>
          </cell>
          <cell r="AO193">
            <v>48.73</v>
          </cell>
          <cell r="AP193">
            <v>48.77</v>
          </cell>
          <cell r="AQ193">
            <v>48.71</v>
          </cell>
          <cell r="AR193">
            <v>48.71</v>
          </cell>
          <cell r="AS193">
            <v>48.74</v>
          </cell>
          <cell r="AT193">
            <v>48.75</v>
          </cell>
          <cell r="AU193">
            <v>48.78</v>
          </cell>
          <cell r="BD193">
            <v>38.54</v>
          </cell>
          <cell r="BE193">
            <v>8.99</v>
          </cell>
          <cell r="BF193">
            <v>9.17</v>
          </cell>
          <cell r="BG193">
            <v>9.11</v>
          </cell>
          <cell r="BH193">
            <v>8.9700000000000006</v>
          </cell>
          <cell r="BI193">
            <v>9.02</v>
          </cell>
          <cell r="BJ193">
            <v>9.07</v>
          </cell>
          <cell r="BK193">
            <v>9.0399999999999991</v>
          </cell>
          <cell r="BL193">
            <v>9.1300000000000008</v>
          </cell>
        </row>
        <row r="194">
          <cell r="A194" t="str">
            <v>SI1611_20250623</v>
          </cell>
          <cell r="B194">
            <v>0</v>
          </cell>
          <cell r="C194">
            <v>0</v>
          </cell>
          <cell r="D194" t="str">
            <v>홀리추얼 울트라 너리싱 어드밴스드 토너 150ML 내캡</v>
          </cell>
          <cell r="E194">
            <v>1</v>
          </cell>
          <cell r="F194">
            <v>32.01</v>
          </cell>
          <cell r="G194">
            <v>32.020000000000003</v>
          </cell>
          <cell r="H194">
            <v>32.01</v>
          </cell>
          <cell r="I194">
            <v>32.01</v>
          </cell>
          <cell r="V194" t="str">
            <v>B</v>
          </cell>
          <cell r="AM194" t="str">
            <v>C</v>
          </cell>
          <cell r="AN194">
            <v>19.03</v>
          </cell>
          <cell r="AO194">
            <v>19.02</v>
          </cell>
          <cell r="AP194">
            <v>19.010000000000002</v>
          </cell>
          <cell r="AQ194">
            <v>19.03</v>
          </cell>
          <cell r="BD194">
            <v>15.15</v>
          </cell>
          <cell r="BE194">
            <v>5.47</v>
          </cell>
          <cell r="BF194">
            <v>5.49</v>
          </cell>
          <cell r="BG194">
            <v>5.38</v>
          </cell>
          <cell r="BH194">
            <v>5.45</v>
          </cell>
        </row>
        <row r="195">
          <cell r="A195" t="str">
            <v>SI1609_20250623</v>
          </cell>
          <cell r="B195">
            <v>0</v>
          </cell>
          <cell r="C195">
            <v>0</v>
          </cell>
          <cell r="D195" t="str">
            <v>홀리추얼 울트라 너리싱 어드밴스드 토너 150ML 외캡 사출</v>
          </cell>
          <cell r="E195">
            <v>1</v>
          </cell>
          <cell r="F195">
            <v>37.090000000000003</v>
          </cell>
          <cell r="G195">
            <v>37.11</v>
          </cell>
          <cell r="H195">
            <v>37.08</v>
          </cell>
          <cell r="I195">
            <v>37.11</v>
          </cell>
          <cell r="V195" t="str">
            <v>B</v>
          </cell>
          <cell r="W195">
            <v>33.64</v>
          </cell>
          <cell r="X195">
            <v>33.64</v>
          </cell>
          <cell r="Y195">
            <v>33.619999999999997</v>
          </cell>
          <cell r="Z195">
            <v>33.65</v>
          </cell>
          <cell r="AM195" t="str">
            <v>C</v>
          </cell>
          <cell r="BD195">
            <v>24.07</v>
          </cell>
          <cell r="BE195">
            <v>12.69</v>
          </cell>
          <cell r="BF195">
            <v>12.71</v>
          </cell>
          <cell r="BG195">
            <v>12.68</v>
          </cell>
          <cell r="BH195">
            <v>12.69</v>
          </cell>
        </row>
        <row r="196">
          <cell r="A196" t="str">
            <v>SI1610_20250623</v>
          </cell>
          <cell r="B196">
            <v>0</v>
          </cell>
          <cell r="C196">
            <v>0</v>
          </cell>
          <cell r="D196" t="str">
            <v>홀리추얼 울트라 너리싱 어드밴스드 토너 150ML 캡장식 사출</v>
          </cell>
          <cell r="E196">
            <v>1</v>
          </cell>
          <cell r="F196">
            <v>36.76</v>
          </cell>
          <cell r="G196">
            <v>36.76</v>
          </cell>
          <cell r="H196">
            <v>36.729999999999997</v>
          </cell>
          <cell r="I196">
            <v>36.74</v>
          </cell>
          <cell r="V196" t="str">
            <v>B</v>
          </cell>
          <cell r="W196">
            <v>32.729999999999997</v>
          </cell>
          <cell r="X196">
            <v>32.72</v>
          </cell>
          <cell r="Y196">
            <v>32.72</v>
          </cell>
          <cell r="Z196">
            <v>32.71</v>
          </cell>
          <cell r="AM196">
            <v>0</v>
          </cell>
          <cell r="BD196">
            <v>25.93</v>
          </cell>
          <cell r="BE196">
            <v>2.08</v>
          </cell>
          <cell r="BF196">
            <v>2.08</v>
          </cell>
          <cell r="BG196">
            <v>2.08</v>
          </cell>
          <cell r="BH196">
            <v>2.08</v>
          </cell>
        </row>
        <row r="197">
          <cell r="A197" t="str">
            <v>SI1610_20250623</v>
          </cell>
          <cell r="B197">
            <v>0</v>
          </cell>
          <cell r="C197">
            <v>0</v>
          </cell>
          <cell r="D197" t="str">
            <v>홀리추얼 울트라 너리싱 어드밴스드 토너 150ML 캡장식 사출</v>
          </cell>
          <cell r="E197">
            <v>1</v>
          </cell>
          <cell r="F197">
            <v>32.729999999999997</v>
          </cell>
          <cell r="G197">
            <v>32.72</v>
          </cell>
          <cell r="H197">
            <v>32.72</v>
          </cell>
          <cell r="I197">
            <v>32.71</v>
          </cell>
          <cell r="V197" t="str">
            <v>B</v>
          </cell>
          <cell r="W197">
            <v>36.76</v>
          </cell>
          <cell r="X197">
            <v>36.76</v>
          </cell>
          <cell r="Y197">
            <v>36.729999999999997</v>
          </cell>
          <cell r="Z197">
            <v>36.74</v>
          </cell>
          <cell r="AM197">
            <v>0</v>
          </cell>
          <cell r="BD197">
            <v>25.93</v>
          </cell>
          <cell r="BE197">
            <v>2.08</v>
          </cell>
          <cell r="BF197">
            <v>2.08</v>
          </cell>
          <cell r="BG197">
            <v>2.08</v>
          </cell>
          <cell r="BH197">
            <v>2.08</v>
          </cell>
        </row>
        <row r="198">
          <cell r="A198" t="str">
            <v>SI1606_20250609</v>
          </cell>
          <cell r="B198">
            <v>0</v>
          </cell>
          <cell r="C198">
            <v>45821</v>
          </cell>
          <cell r="D198" t="str">
            <v>(EUSA)라네즈 실키앤스무스 토너 150mL (26 내캡</v>
          </cell>
          <cell r="E198">
            <v>1</v>
          </cell>
          <cell r="F198">
            <v>22.56</v>
          </cell>
          <cell r="G198">
            <v>22.55</v>
          </cell>
          <cell r="H198">
            <v>22.58</v>
          </cell>
          <cell r="I198">
            <v>22.55</v>
          </cell>
          <cell r="J198">
            <v>22.56</v>
          </cell>
          <cell r="K198">
            <v>22.57</v>
          </cell>
          <cell r="L198">
            <v>22.55</v>
          </cell>
          <cell r="M198">
            <v>22.54</v>
          </cell>
          <cell r="V198" t="str">
            <v>언더컷</v>
          </cell>
          <cell r="W198">
            <v>48.28</v>
          </cell>
          <cell r="X198">
            <v>48.35</v>
          </cell>
          <cell r="Y198">
            <v>48.36</v>
          </cell>
          <cell r="Z198">
            <v>48.29</v>
          </cell>
          <cell r="AA198">
            <v>48.33</v>
          </cell>
          <cell r="AB198">
            <v>48.34</v>
          </cell>
          <cell r="AC198">
            <v>48.34</v>
          </cell>
          <cell r="AD198">
            <v>48.31</v>
          </cell>
          <cell r="AM198" t="str">
            <v>외경</v>
          </cell>
          <cell r="BD198">
            <v>38.590000000000003</v>
          </cell>
          <cell r="BE198">
            <v>8.9499999999999993</v>
          </cell>
          <cell r="BF198">
            <v>9.07</v>
          </cell>
          <cell r="BG198">
            <v>9.06</v>
          </cell>
          <cell r="BH198">
            <v>9.14</v>
          </cell>
          <cell r="BI198">
            <v>9.1300000000000008</v>
          </cell>
          <cell r="BJ198">
            <v>9.11</v>
          </cell>
          <cell r="BK198">
            <v>9.14</v>
          </cell>
          <cell r="BL198">
            <v>9.1300000000000008</v>
          </cell>
        </row>
        <row r="199">
          <cell r="A199" t="str">
            <v>김유미</v>
          </cell>
          <cell r="B199" t="str">
            <v/>
          </cell>
          <cell r="C199" t="str">
            <v/>
          </cell>
          <cell r="D199" t="str">
            <v/>
          </cell>
          <cell r="E199">
            <v>1</v>
          </cell>
          <cell r="F199">
            <v>2</v>
          </cell>
          <cell r="G199">
            <v>3</v>
          </cell>
          <cell r="H199">
            <v>4</v>
          </cell>
          <cell r="V199" t="str">
            <v/>
          </cell>
          <cell r="AM199" t="str">
            <v/>
          </cell>
        </row>
        <row r="200">
          <cell r="A200" t="str">
            <v>테스트</v>
          </cell>
          <cell r="B200" t="str">
            <v/>
          </cell>
          <cell r="C200" t="str">
            <v/>
          </cell>
          <cell r="D200" t="str">
            <v/>
          </cell>
          <cell r="E200" t="str">
            <v/>
          </cell>
          <cell r="F200">
            <v>1</v>
          </cell>
          <cell r="G200">
            <v>2</v>
          </cell>
          <cell r="H200">
            <v>3</v>
          </cell>
          <cell r="I200">
            <v>4</v>
          </cell>
          <cell r="V200" t="str">
            <v/>
          </cell>
          <cell r="AM200" t="str">
            <v/>
          </cell>
        </row>
        <row r="201">
          <cell r="A201" t="str">
            <v>SI1600_20250606</v>
          </cell>
          <cell r="B201" t="str">
            <v>장세래</v>
          </cell>
          <cell r="C201">
            <v>45814</v>
          </cell>
          <cell r="D201" t="str">
            <v>미쟝센 퍼펙트 오일 인퓨전 헤어 마스크150g(25 단캡</v>
          </cell>
          <cell r="E201" t="str">
            <v>나사경</v>
          </cell>
          <cell r="F201">
            <v>69.260000000000005</v>
          </cell>
          <cell r="G201">
            <v>69.209999999999994</v>
          </cell>
          <cell r="H201">
            <v>69.290000000000006</v>
          </cell>
          <cell r="I201">
            <v>69.260000000000005</v>
          </cell>
          <cell r="V201" t="str">
            <v>외경</v>
          </cell>
          <cell r="W201">
            <v>80.239999999999995</v>
          </cell>
          <cell r="X201">
            <v>80.22</v>
          </cell>
          <cell r="Y201">
            <v>80.25</v>
          </cell>
          <cell r="Z201">
            <v>80.239999999999995</v>
          </cell>
          <cell r="AM201">
            <v>0</v>
          </cell>
          <cell r="BD201">
            <v>36.020000000000003</v>
          </cell>
          <cell r="BE201">
            <v>17.89</v>
          </cell>
          <cell r="BF201">
            <v>17.940000000000001</v>
          </cell>
          <cell r="BG201">
            <v>17.98</v>
          </cell>
          <cell r="BH201">
            <v>18.02</v>
          </cell>
        </row>
        <row r="202">
          <cell r="A202" t="str">
            <v>SI1606_20250522</v>
          </cell>
          <cell r="B202" t="str">
            <v>장세래</v>
          </cell>
          <cell r="C202">
            <v>45806</v>
          </cell>
          <cell r="D202" t="str">
            <v>(EUSA)라네즈 실키앤스무스 토너 150mL (26 내캡</v>
          </cell>
          <cell r="E202" t="str">
            <v>나사경</v>
          </cell>
          <cell r="F202">
            <v>69.260000000000005</v>
          </cell>
          <cell r="G202">
            <v>69.209999999999994</v>
          </cell>
          <cell r="H202">
            <v>69.290000000000006</v>
          </cell>
          <cell r="I202">
            <v>69.260000000000005</v>
          </cell>
          <cell r="V202" t="str">
            <v>언더컷</v>
          </cell>
          <cell r="AM202" t="str">
            <v>외경</v>
          </cell>
          <cell r="AN202">
            <v>80.239999999999995</v>
          </cell>
          <cell r="AO202">
            <v>80.22</v>
          </cell>
          <cell r="AP202">
            <v>80.25</v>
          </cell>
          <cell r="AQ202">
            <v>80.239999999999995</v>
          </cell>
          <cell r="BD202">
            <v>36.020000000000003</v>
          </cell>
          <cell r="BE202">
            <v>17.89</v>
          </cell>
          <cell r="BF202">
            <v>17.940000000000001</v>
          </cell>
          <cell r="BG202">
            <v>17.98</v>
          </cell>
          <cell r="BH202">
            <v>18.02</v>
          </cell>
        </row>
        <row r="203">
          <cell r="A203" t="str">
            <v>SI1606_20250522</v>
          </cell>
          <cell r="B203" t="str">
            <v>장세래</v>
          </cell>
          <cell r="C203">
            <v>45806</v>
          </cell>
          <cell r="D203" t="str">
            <v>(EUSA)라네즈 실키앤스무스 토너 150mL (26 내캡</v>
          </cell>
          <cell r="E203" t="str">
            <v>나사경</v>
          </cell>
          <cell r="V203" t="str">
            <v>언더컷</v>
          </cell>
          <cell r="AM203" t="str">
            <v>외경</v>
          </cell>
          <cell r="AN203">
            <v>50.68</v>
          </cell>
          <cell r="AO203">
            <v>50.67</v>
          </cell>
          <cell r="AP203">
            <v>50.69</v>
          </cell>
          <cell r="AQ203">
            <v>50.69</v>
          </cell>
          <cell r="AR203">
            <v>50.68</v>
          </cell>
          <cell r="AS203">
            <v>50.67</v>
          </cell>
          <cell r="AT203">
            <v>50.68</v>
          </cell>
          <cell r="AU203">
            <v>50.7</v>
          </cell>
          <cell r="BD203">
            <v>64</v>
          </cell>
          <cell r="BE203">
            <v>13.17</v>
          </cell>
          <cell r="BF203">
            <v>13.2</v>
          </cell>
          <cell r="BG203">
            <v>13.19</v>
          </cell>
          <cell r="BH203">
            <v>13.14</v>
          </cell>
          <cell r="BI203">
            <v>13.16</v>
          </cell>
          <cell r="BJ203">
            <v>13.16</v>
          </cell>
          <cell r="BK203">
            <v>13.22</v>
          </cell>
          <cell r="BL203">
            <v>13.13</v>
          </cell>
        </row>
        <row r="204">
          <cell r="A204" t="str">
            <v>SI1606_20250522</v>
          </cell>
          <cell r="B204" t="str">
            <v>장세래</v>
          </cell>
          <cell r="C204">
            <v>45806</v>
          </cell>
          <cell r="D204" t="str">
            <v>(EUSA)라네즈 실키앤스무스 토너 150mL (26 내캡</v>
          </cell>
          <cell r="E204" t="str">
            <v>나사경</v>
          </cell>
          <cell r="F204">
            <v>22.56</v>
          </cell>
          <cell r="G204">
            <v>22.56</v>
          </cell>
          <cell r="H204">
            <v>22.58</v>
          </cell>
          <cell r="I204">
            <v>22.54</v>
          </cell>
          <cell r="J204">
            <v>22.57</v>
          </cell>
          <cell r="K204">
            <v>22.58</v>
          </cell>
          <cell r="L204">
            <v>22.54</v>
          </cell>
          <cell r="M204">
            <v>22.57</v>
          </cell>
          <cell r="V204" t="str">
            <v>언더컷</v>
          </cell>
          <cell r="W204">
            <v>48.13</v>
          </cell>
          <cell r="X204">
            <v>48.16</v>
          </cell>
          <cell r="Y204">
            <v>48.18</v>
          </cell>
          <cell r="Z204">
            <v>48.17</v>
          </cell>
          <cell r="AA204">
            <v>48.17</v>
          </cell>
          <cell r="AB204">
            <v>48.17</v>
          </cell>
          <cell r="AC204">
            <v>48.16</v>
          </cell>
          <cell r="AD204">
            <v>48.15</v>
          </cell>
          <cell r="AM204" t="str">
            <v>외경</v>
          </cell>
          <cell r="AN204">
            <v>48.59</v>
          </cell>
          <cell r="AO204">
            <v>48.61</v>
          </cell>
          <cell r="AP204">
            <v>48.59</v>
          </cell>
          <cell r="AQ204">
            <v>48.61</v>
          </cell>
          <cell r="AR204">
            <v>48.59</v>
          </cell>
          <cell r="AS204">
            <v>48.61</v>
          </cell>
          <cell r="AT204">
            <v>48.61</v>
          </cell>
          <cell r="AU204">
            <v>48.59</v>
          </cell>
          <cell r="BD204">
            <v>39.69</v>
          </cell>
          <cell r="BE204">
            <v>8.36</v>
          </cell>
          <cell r="BF204">
            <v>8.36</v>
          </cell>
          <cell r="BG204">
            <v>8.3699999999999992</v>
          </cell>
          <cell r="BH204">
            <v>8.36</v>
          </cell>
          <cell r="BI204">
            <v>8.3699999999999992</v>
          </cell>
          <cell r="BJ204">
            <v>8.3800000000000008</v>
          </cell>
          <cell r="BK204">
            <v>8.36</v>
          </cell>
          <cell r="BL204">
            <v>8.35</v>
          </cell>
        </row>
        <row r="205">
          <cell r="A205" t="str">
            <v>SI1606_20250519</v>
          </cell>
          <cell r="B205">
            <v>0</v>
          </cell>
          <cell r="C205">
            <v>0</v>
          </cell>
          <cell r="D205" t="str">
            <v>(EUSA)라네즈 실키앤스무스 토너 150mL (26 내캡</v>
          </cell>
          <cell r="E205" t="str">
            <v>내경</v>
          </cell>
          <cell r="V205" t="str">
            <v>언더컷</v>
          </cell>
          <cell r="W205">
            <v>48.32</v>
          </cell>
          <cell r="X205">
            <v>48.38</v>
          </cell>
          <cell r="Y205">
            <v>48.35</v>
          </cell>
          <cell r="Z205">
            <v>48.31</v>
          </cell>
          <cell r="AA205">
            <v>48.32</v>
          </cell>
          <cell r="AB205">
            <v>48.35</v>
          </cell>
          <cell r="AC205">
            <v>48.33</v>
          </cell>
          <cell r="AD205">
            <v>48.31</v>
          </cell>
          <cell r="AM205" t="str">
            <v>외경</v>
          </cell>
          <cell r="AN205">
            <v>48.82</v>
          </cell>
          <cell r="AO205">
            <v>48.81</v>
          </cell>
          <cell r="AP205">
            <v>48.78</v>
          </cell>
          <cell r="AQ205">
            <v>48.79</v>
          </cell>
          <cell r="AR205">
            <v>48.81</v>
          </cell>
          <cell r="AS205">
            <v>48.78</v>
          </cell>
          <cell r="AT205">
            <v>48.8</v>
          </cell>
          <cell r="AU205">
            <v>48.82</v>
          </cell>
          <cell r="BD205">
            <v>38.15</v>
          </cell>
          <cell r="BE205">
            <v>8.42</v>
          </cell>
          <cell r="BF205">
            <v>8.5</v>
          </cell>
          <cell r="BG205">
            <v>8.44</v>
          </cell>
          <cell r="BH205">
            <v>8.3699999999999992</v>
          </cell>
          <cell r="BI205">
            <v>8.42</v>
          </cell>
          <cell r="BJ205">
            <v>8.4600000000000009</v>
          </cell>
          <cell r="BK205">
            <v>8.43</v>
          </cell>
          <cell r="BL205">
            <v>8.39</v>
          </cell>
        </row>
        <row r="206">
          <cell r="A206" t="str">
            <v>SI1605_20250519</v>
          </cell>
          <cell r="B206" t="str">
            <v>한창구</v>
          </cell>
          <cell r="C206">
            <v>45796</v>
          </cell>
          <cell r="D206" t="str">
            <v>(EUSA)라네즈 실키앤스무스 토너 150mL (26 외캡</v>
          </cell>
          <cell r="E206" t="str">
            <v>외경</v>
          </cell>
          <cell r="F206">
            <v>50.63</v>
          </cell>
          <cell r="G206">
            <v>50.64</v>
          </cell>
          <cell r="H206">
            <v>50.64</v>
          </cell>
          <cell r="I206">
            <v>50.63</v>
          </cell>
          <cell r="J206">
            <v>50.64</v>
          </cell>
          <cell r="K206">
            <v>50.63</v>
          </cell>
          <cell r="L206">
            <v>50.65</v>
          </cell>
          <cell r="V206" t="str">
            <v>키잡이</v>
          </cell>
          <cell r="AM206" t="str">
            <v>내경</v>
          </cell>
          <cell r="BD206">
            <v>64.680000000000007</v>
          </cell>
          <cell r="BE206">
            <v>13.04</v>
          </cell>
          <cell r="BF206">
            <v>13.09</v>
          </cell>
          <cell r="BG206">
            <v>13.08</v>
          </cell>
          <cell r="BH206">
            <v>13.03</v>
          </cell>
          <cell r="BI206">
            <v>13.03</v>
          </cell>
          <cell r="BJ206">
            <v>13.04</v>
          </cell>
          <cell r="BK206">
            <v>13.1</v>
          </cell>
          <cell r="BL206">
            <v>13.01</v>
          </cell>
        </row>
        <row r="207">
          <cell r="A207" t="str">
            <v>SI1600_20250421</v>
          </cell>
          <cell r="B207" t="str">
            <v>장세래</v>
          </cell>
          <cell r="C207">
            <v>45768</v>
          </cell>
          <cell r="D207" t="str">
            <v>미쟝센 퍼펙트 오일 인퓨전 헤어 마스크150g(25 단캡</v>
          </cell>
          <cell r="E207" t="str">
            <v>나사경</v>
          </cell>
          <cell r="F207">
            <v>69.22</v>
          </cell>
          <cell r="G207">
            <v>69.209999999999994</v>
          </cell>
          <cell r="H207">
            <v>69.180000000000007</v>
          </cell>
          <cell r="I207">
            <v>69.22</v>
          </cell>
          <cell r="V207" t="str">
            <v>외경</v>
          </cell>
          <cell r="W207">
            <v>80.16</v>
          </cell>
          <cell r="X207">
            <v>80.14</v>
          </cell>
          <cell r="Y207">
            <v>80.150000000000006</v>
          </cell>
          <cell r="Z207">
            <v>80.11</v>
          </cell>
          <cell r="AM207">
            <v>0</v>
          </cell>
          <cell r="BD207">
            <v>38.08</v>
          </cell>
          <cell r="BE207">
            <v>18.91</v>
          </cell>
          <cell r="BF207">
            <v>19.09</v>
          </cell>
          <cell r="BG207">
            <v>18.88</v>
          </cell>
          <cell r="BH207">
            <v>19.11</v>
          </cell>
        </row>
        <row r="208">
          <cell r="A208" t="str">
            <v>SI1600_20250416</v>
          </cell>
          <cell r="B208">
            <v>0</v>
          </cell>
          <cell r="C208">
            <v>45768</v>
          </cell>
          <cell r="D208" t="str">
            <v>미쟝센 퍼펙트 오일 인퓨전 헤어 마스크150g(25 단캡</v>
          </cell>
          <cell r="E208" t="str">
            <v>나사경</v>
          </cell>
          <cell r="F208">
            <v>69.28</v>
          </cell>
          <cell r="G208">
            <v>69.260000000000005</v>
          </cell>
          <cell r="H208">
            <v>69.22</v>
          </cell>
          <cell r="I208">
            <v>69.19</v>
          </cell>
          <cell r="V208" t="str">
            <v>외경</v>
          </cell>
          <cell r="W208">
            <v>80.14</v>
          </cell>
          <cell r="X208">
            <v>80.069999999999993</v>
          </cell>
          <cell r="Y208">
            <v>80.05</v>
          </cell>
          <cell r="Z208">
            <v>80.069999999999993</v>
          </cell>
          <cell r="AM208">
            <v>0</v>
          </cell>
          <cell r="BD208">
            <v>37.26</v>
          </cell>
          <cell r="BE208">
            <v>18.809999999999999</v>
          </cell>
          <cell r="BF208">
            <v>19.13</v>
          </cell>
          <cell r="BG208">
            <v>18.809999999999999</v>
          </cell>
          <cell r="BH208">
            <v>19.07</v>
          </cell>
        </row>
        <row r="209">
          <cell r="A209" t="str">
            <v>SI1601_20250417</v>
          </cell>
          <cell r="B209" t="str">
            <v>장세래</v>
          </cell>
          <cell r="C209">
            <v>45765</v>
          </cell>
          <cell r="D209" t="str">
            <v>미쟝센 퍼펙트 오일 인퓨전 헤어 마스크150g(25 단용기</v>
          </cell>
          <cell r="E209" t="str">
            <v>나사경</v>
          </cell>
          <cell r="F209">
            <v>70.45</v>
          </cell>
          <cell r="G209">
            <v>70.41</v>
          </cell>
          <cell r="H209">
            <v>70.459999999999994</v>
          </cell>
          <cell r="I209">
            <v>70.47</v>
          </cell>
          <cell r="V209" t="str">
            <v>외경</v>
          </cell>
          <cell r="W209">
            <v>80.62</v>
          </cell>
          <cell r="X209">
            <v>80.59</v>
          </cell>
          <cell r="Y209">
            <v>80.66</v>
          </cell>
          <cell r="Z209">
            <v>80.64</v>
          </cell>
          <cell r="AM209">
            <v>0</v>
          </cell>
          <cell r="BD209">
            <v>37.76</v>
          </cell>
          <cell r="BE209">
            <v>56.57</v>
          </cell>
          <cell r="BF209">
            <v>56.67</v>
          </cell>
          <cell r="BG209">
            <v>56.75</v>
          </cell>
          <cell r="BH209">
            <v>56.66</v>
          </cell>
        </row>
        <row r="210">
          <cell r="A210" t="str">
            <v>SI1598_20250408</v>
          </cell>
          <cell r="B210" t="str">
            <v>유재호</v>
          </cell>
          <cell r="C210">
            <v>45756</v>
          </cell>
          <cell r="D210" t="str">
            <v>라네즈 바운시슬리핑마스크 70ML (20AD 단캡</v>
          </cell>
          <cell r="E210" t="str">
            <v>외경</v>
          </cell>
          <cell r="F210">
            <v>65.33</v>
          </cell>
          <cell r="G210">
            <v>65.319999999999993</v>
          </cell>
          <cell r="H210">
            <v>65.319999999999993</v>
          </cell>
          <cell r="I210">
            <v>65.33</v>
          </cell>
          <cell r="V210" t="str">
            <v>나사경</v>
          </cell>
          <cell r="W210">
            <v>59.77</v>
          </cell>
          <cell r="X210">
            <v>59.76</v>
          </cell>
          <cell r="Y210">
            <v>59.75</v>
          </cell>
          <cell r="Z210">
            <v>59.87</v>
          </cell>
          <cell r="AM210">
            <v>0</v>
          </cell>
          <cell r="BD210">
            <v>37.549999999999997</v>
          </cell>
          <cell r="BE210">
            <v>10.73</v>
          </cell>
          <cell r="BF210">
            <v>10.61</v>
          </cell>
          <cell r="BG210">
            <v>10.93</v>
          </cell>
          <cell r="BH210">
            <v>10.59</v>
          </cell>
        </row>
        <row r="211">
          <cell r="A211" t="str">
            <v>SI1601_20250402</v>
          </cell>
          <cell r="B211" t="str">
            <v>장세래</v>
          </cell>
          <cell r="C211">
            <v>45751</v>
          </cell>
          <cell r="D211" t="str">
            <v>미쟝센 퍼펙트 오일 인퓨전 헤어 마스크150g(25 단용기</v>
          </cell>
          <cell r="E211" t="str">
            <v>나사경</v>
          </cell>
          <cell r="F211">
            <v>70.42</v>
          </cell>
          <cell r="G211">
            <v>70.459999999999994</v>
          </cell>
          <cell r="H211">
            <v>70.44</v>
          </cell>
          <cell r="I211">
            <v>70.400000000000006</v>
          </cell>
          <cell r="V211" t="str">
            <v>외경</v>
          </cell>
          <cell r="W211">
            <v>80.599999999999994</v>
          </cell>
          <cell r="X211">
            <v>80.64</v>
          </cell>
          <cell r="Y211">
            <v>80.62</v>
          </cell>
          <cell r="Z211">
            <v>80.599999999999994</v>
          </cell>
          <cell r="AM211">
            <v>0</v>
          </cell>
          <cell r="BE211">
            <v>56.66</v>
          </cell>
          <cell r="BF211">
            <v>56.75</v>
          </cell>
          <cell r="BG211">
            <v>56.72</v>
          </cell>
          <cell r="BH211">
            <v>56.76</v>
          </cell>
        </row>
        <row r="212">
          <cell r="A212" t="str">
            <v>SI1600_20250402</v>
          </cell>
          <cell r="B212" t="str">
            <v>장세래</v>
          </cell>
          <cell r="C212">
            <v>45751</v>
          </cell>
          <cell r="D212" t="str">
            <v>미쟝센 퍼펙트 오일 인퓨전 헤어 마스크150g(25 단캡</v>
          </cell>
          <cell r="E212" t="str">
            <v>나사경</v>
          </cell>
          <cell r="F212">
            <v>69.41</v>
          </cell>
          <cell r="G212">
            <v>69.33</v>
          </cell>
          <cell r="H212">
            <v>69.459999999999994</v>
          </cell>
          <cell r="I212">
            <v>69.36</v>
          </cell>
          <cell r="V212" t="str">
            <v>외경</v>
          </cell>
          <cell r="W212">
            <v>80.27</v>
          </cell>
          <cell r="X212">
            <v>80.22</v>
          </cell>
          <cell r="Y212">
            <v>80.2</v>
          </cell>
          <cell r="Z212">
            <v>80.209999999999994</v>
          </cell>
          <cell r="AM212">
            <v>0</v>
          </cell>
          <cell r="BD212">
            <v>37.299999999999997</v>
          </cell>
          <cell r="BE212">
            <v>18.97</v>
          </cell>
          <cell r="BF212">
            <v>19.22</v>
          </cell>
          <cell r="BG212">
            <v>18.93</v>
          </cell>
          <cell r="BH212">
            <v>19.21</v>
          </cell>
        </row>
        <row r="213">
          <cell r="A213" t="str">
            <v>SI1558_20250321</v>
          </cell>
          <cell r="B213" t="str">
            <v>유재호</v>
          </cell>
          <cell r="C213">
            <v>45737</v>
          </cell>
          <cell r="D213" t="str">
            <v>라보에이치 모발강화 트리트먼트 200ml 50파이 장식</v>
          </cell>
          <cell r="E213" t="str">
            <v>외경</v>
          </cell>
          <cell r="F213">
            <v>44.52</v>
          </cell>
          <cell r="G213">
            <v>44.52</v>
          </cell>
          <cell r="H213">
            <v>44.51</v>
          </cell>
          <cell r="I213">
            <v>44.52</v>
          </cell>
          <cell r="J213">
            <v>44.5</v>
          </cell>
          <cell r="K213">
            <v>44.51</v>
          </cell>
          <cell r="L213">
            <v>44.52</v>
          </cell>
          <cell r="M213">
            <v>44.52</v>
          </cell>
          <cell r="V213" t="str">
            <v>언더컷</v>
          </cell>
          <cell r="W213">
            <v>43.96</v>
          </cell>
          <cell r="X213">
            <v>43.97</v>
          </cell>
          <cell r="Y213">
            <v>43.97</v>
          </cell>
          <cell r="Z213">
            <v>43.96</v>
          </cell>
          <cell r="AA213">
            <v>43.97</v>
          </cell>
          <cell r="AB213">
            <v>43.96</v>
          </cell>
          <cell r="AC213">
            <v>43.97</v>
          </cell>
          <cell r="AD213">
            <v>43.96</v>
          </cell>
          <cell r="AM213">
            <v>0</v>
          </cell>
          <cell r="BD213">
            <v>10.95</v>
          </cell>
          <cell r="BE213">
            <v>2.4</v>
          </cell>
          <cell r="BF213">
            <v>2.4</v>
          </cell>
          <cell r="BG213">
            <v>2.4300000000000002</v>
          </cell>
          <cell r="BH213">
            <v>2.37</v>
          </cell>
          <cell r="BI213">
            <v>2.41</v>
          </cell>
          <cell r="BJ213">
            <v>2.42</v>
          </cell>
          <cell r="BK213">
            <v>2.4300000000000002</v>
          </cell>
          <cell r="BL213">
            <v>2.4300000000000002</v>
          </cell>
        </row>
        <row r="214">
          <cell r="A214" t="str">
            <v>SI1560_20250321</v>
          </cell>
          <cell r="B214" t="str">
            <v>유재호</v>
          </cell>
          <cell r="C214">
            <v>45737</v>
          </cell>
          <cell r="D214" t="str">
            <v>라보에이치 모발강화 트리트먼트 300ml 60파이 장식</v>
          </cell>
          <cell r="E214" t="str">
            <v>외경</v>
          </cell>
          <cell r="F214">
            <v>53.56</v>
          </cell>
          <cell r="G214">
            <v>53.58</v>
          </cell>
          <cell r="H214">
            <v>53.57</v>
          </cell>
          <cell r="I214">
            <v>53.58</v>
          </cell>
          <cell r="J214">
            <v>53.57</v>
          </cell>
          <cell r="K214">
            <v>53.58</v>
          </cell>
          <cell r="L214">
            <v>53.58</v>
          </cell>
          <cell r="M214">
            <v>53.56</v>
          </cell>
          <cell r="V214" t="str">
            <v>언더컷</v>
          </cell>
          <cell r="W214">
            <v>52.95</v>
          </cell>
          <cell r="X214">
            <v>52.97</v>
          </cell>
          <cell r="Y214">
            <v>52.96</v>
          </cell>
          <cell r="Z214">
            <v>52.95</v>
          </cell>
          <cell r="AA214">
            <v>52.95</v>
          </cell>
          <cell r="AB214">
            <v>52.97</v>
          </cell>
          <cell r="AC214">
            <v>52.96</v>
          </cell>
          <cell r="AD214">
            <v>52.96</v>
          </cell>
          <cell r="AM214">
            <v>0</v>
          </cell>
          <cell r="BD214">
            <v>11.29</v>
          </cell>
          <cell r="BE214">
            <v>3.26</v>
          </cell>
          <cell r="BF214">
            <v>3.29</v>
          </cell>
          <cell r="BG214">
            <v>3.28</v>
          </cell>
          <cell r="BH214">
            <v>3.27</v>
          </cell>
          <cell r="BI214">
            <v>3.28</v>
          </cell>
          <cell r="BJ214">
            <v>3.34</v>
          </cell>
          <cell r="BK214">
            <v>3.34</v>
          </cell>
          <cell r="BL214">
            <v>3.28</v>
          </cell>
        </row>
        <row r="215">
          <cell r="A215" t="str">
            <v>SI1596_20250318</v>
          </cell>
          <cell r="B215" t="str">
            <v>한창구</v>
          </cell>
          <cell r="C215">
            <v>45735</v>
          </cell>
          <cell r="D215" t="str">
            <v>라네즈 워터슬리핑마스크 70ML (20AD 외용기</v>
          </cell>
          <cell r="E215" t="str">
            <v>언더컷</v>
          </cell>
          <cell r="V215" t="str">
            <v>나사경</v>
          </cell>
          <cell r="W215">
            <v>61.02</v>
          </cell>
          <cell r="X215">
            <v>60.98</v>
          </cell>
          <cell r="Y215">
            <v>60.98</v>
          </cell>
          <cell r="Z215">
            <v>60.99</v>
          </cell>
          <cell r="AM215">
            <v>0</v>
          </cell>
          <cell r="BE215">
            <v>76.75</v>
          </cell>
          <cell r="BF215">
            <v>77.459999999999994</v>
          </cell>
          <cell r="BG215">
            <v>76.81</v>
          </cell>
          <cell r="BH215">
            <v>76.67</v>
          </cell>
        </row>
        <row r="216">
          <cell r="A216" t="str">
            <v>SI1597_20250307</v>
          </cell>
          <cell r="B216" t="str">
            <v>유재호</v>
          </cell>
          <cell r="C216">
            <v>45723</v>
          </cell>
          <cell r="D216" t="str">
            <v>아모레 원터치캡 45파이</v>
          </cell>
          <cell r="E216" t="str">
            <v>나사경</v>
          </cell>
          <cell r="F216">
            <v>22.1</v>
          </cell>
          <cell r="G216">
            <v>22.12</v>
          </cell>
          <cell r="H216">
            <v>22.13</v>
          </cell>
          <cell r="I216">
            <v>22.13</v>
          </cell>
          <cell r="J216">
            <v>22.14</v>
          </cell>
          <cell r="K216">
            <v>22.13</v>
          </cell>
          <cell r="L216">
            <v>22.13</v>
          </cell>
          <cell r="M216">
            <v>22.12</v>
          </cell>
          <cell r="V216" t="str">
            <v>외경</v>
          </cell>
          <cell r="W216">
            <v>42.82</v>
          </cell>
          <cell r="X216">
            <v>42.83</v>
          </cell>
          <cell r="Y216">
            <v>42.84</v>
          </cell>
          <cell r="Z216">
            <v>42.83</v>
          </cell>
          <cell r="AA216">
            <v>42.85</v>
          </cell>
          <cell r="AB216">
            <v>42.83</v>
          </cell>
          <cell r="AC216">
            <v>42.84</v>
          </cell>
          <cell r="AD216">
            <v>42.83</v>
          </cell>
          <cell r="AM216">
            <v>0</v>
          </cell>
          <cell r="BD216">
            <v>31.53</v>
          </cell>
          <cell r="BE216">
            <v>8.93</v>
          </cell>
          <cell r="BF216">
            <v>8.93</v>
          </cell>
          <cell r="BG216">
            <v>8.98</v>
          </cell>
          <cell r="BH216">
            <v>9.02</v>
          </cell>
          <cell r="BI216">
            <v>8.9600000000000009</v>
          </cell>
          <cell r="BJ216">
            <v>8.9499999999999993</v>
          </cell>
          <cell r="BK216">
            <v>8.9600000000000009</v>
          </cell>
          <cell r="BL216">
            <v>8.91</v>
          </cell>
        </row>
        <row r="217">
          <cell r="A217" t="str">
            <v>SI1592_20250204</v>
          </cell>
          <cell r="B217" t="str">
            <v>유재호</v>
          </cell>
          <cell r="C217">
            <v>45716</v>
          </cell>
          <cell r="D217" t="str">
            <v>라네즈 워터슬리핑마스크 70ML (20AD 내용기</v>
          </cell>
          <cell r="E217" t="str">
            <v>외경</v>
          </cell>
          <cell r="F217">
            <v>58.06</v>
          </cell>
          <cell r="G217">
            <v>58.08</v>
          </cell>
          <cell r="H217">
            <v>58.09</v>
          </cell>
          <cell r="I217">
            <v>58.09</v>
          </cell>
          <cell r="J217">
            <v>58.08</v>
          </cell>
          <cell r="K217">
            <v>58.09</v>
          </cell>
          <cell r="L217">
            <v>58.07</v>
          </cell>
          <cell r="M217">
            <v>58.08</v>
          </cell>
          <cell r="V217" t="str">
            <v>C 포인트</v>
          </cell>
          <cell r="W217">
            <v>52.56</v>
          </cell>
          <cell r="X217">
            <v>52.55</v>
          </cell>
          <cell r="Y217">
            <v>52.54</v>
          </cell>
          <cell r="Z217">
            <v>52.55</v>
          </cell>
          <cell r="AA217">
            <v>52.56</v>
          </cell>
          <cell r="AB217">
            <v>52.56</v>
          </cell>
          <cell r="AC217">
            <v>52.54</v>
          </cell>
          <cell r="AD217">
            <v>52.55</v>
          </cell>
          <cell r="AM217">
            <v>0</v>
          </cell>
          <cell r="BD217">
            <v>25.24</v>
          </cell>
          <cell r="BE217">
            <v>17.55</v>
          </cell>
          <cell r="BF217">
            <v>17.57</v>
          </cell>
          <cell r="BG217">
            <v>17.68</v>
          </cell>
          <cell r="BH217">
            <v>17.55</v>
          </cell>
          <cell r="BI217">
            <v>17.71</v>
          </cell>
          <cell r="BJ217">
            <v>17.649999999999999</v>
          </cell>
          <cell r="BK217">
            <v>17.649999999999999</v>
          </cell>
          <cell r="BL217">
            <v>17.600000000000001</v>
          </cell>
        </row>
        <row r="218">
          <cell r="A218" t="str">
            <v>SI1590_20250204</v>
          </cell>
          <cell r="B218" t="str">
            <v>유재호</v>
          </cell>
          <cell r="C218">
            <v>45716</v>
          </cell>
          <cell r="D218" t="str">
            <v>라네즈 시카슬리핑마스크 60ML (21AD 내용기</v>
          </cell>
          <cell r="E218" t="str">
            <v>외경</v>
          </cell>
          <cell r="F218">
            <v>58.06</v>
          </cell>
          <cell r="G218">
            <v>58.07</v>
          </cell>
          <cell r="H218">
            <v>58.07</v>
          </cell>
          <cell r="I218">
            <v>58.08</v>
          </cell>
          <cell r="J218">
            <v>58.07</v>
          </cell>
          <cell r="K218">
            <v>58.06</v>
          </cell>
          <cell r="L218">
            <v>58.07</v>
          </cell>
          <cell r="M218">
            <v>58.06</v>
          </cell>
          <cell r="V218" t="str">
            <v>C 포인트</v>
          </cell>
          <cell r="W218">
            <v>52.74</v>
          </cell>
          <cell r="X218">
            <v>52.75</v>
          </cell>
          <cell r="Y218">
            <v>52.76</v>
          </cell>
          <cell r="Z218">
            <v>52.75</v>
          </cell>
          <cell r="AA218">
            <v>52.74</v>
          </cell>
          <cell r="AB218">
            <v>52.74</v>
          </cell>
          <cell r="AC218">
            <v>52.75</v>
          </cell>
          <cell r="AD218">
            <v>52.74</v>
          </cell>
          <cell r="AM218">
            <v>0</v>
          </cell>
          <cell r="BD218">
            <v>24.76</v>
          </cell>
          <cell r="BE218">
            <v>14.77</v>
          </cell>
          <cell r="BF218">
            <v>14.72</v>
          </cell>
          <cell r="BG218">
            <v>14.74</v>
          </cell>
          <cell r="BH218">
            <v>14.74</v>
          </cell>
          <cell r="BI218">
            <v>14.67</v>
          </cell>
          <cell r="BJ218">
            <v>14.68</v>
          </cell>
          <cell r="BK218">
            <v>14.68</v>
          </cell>
          <cell r="BL218">
            <v>14.68</v>
          </cell>
        </row>
        <row r="219">
          <cell r="A219" t="str">
            <v>SI1543_20250227</v>
          </cell>
          <cell r="B219" t="str">
            <v>유재호</v>
          </cell>
          <cell r="C219">
            <v>45715</v>
          </cell>
          <cell r="D219" t="str">
            <v>아이오페 스템Ⅲ 클리니컬 리커버리 크림 50ML(25) 내용기</v>
          </cell>
          <cell r="E219" t="str">
            <v>외경</v>
          </cell>
          <cell r="F219">
            <v>57.16</v>
          </cell>
          <cell r="G219">
            <v>57.17</v>
          </cell>
          <cell r="H219">
            <v>57.16</v>
          </cell>
          <cell r="I219">
            <v>57.15</v>
          </cell>
          <cell r="J219">
            <v>57.16</v>
          </cell>
          <cell r="K219">
            <v>57.16</v>
          </cell>
          <cell r="L219">
            <v>57.17</v>
          </cell>
          <cell r="M219">
            <v>57.16</v>
          </cell>
          <cell r="V219" t="str">
            <v>리브</v>
          </cell>
          <cell r="W219">
            <v>51.74</v>
          </cell>
          <cell r="X219">
            <v>51.72</v>
          </cell>
          <cell r="Y219">
            <v>51.75</v>
          </cell>
          <cell r="Z219">
            <v>51.74</v>
          </cell>
          <cell r="AA219">
            <v>51.73</v>
          </cell>
          <cell r="AB219">
            <v>51.74</v>
          </cell>
          <cell r="AC219">
            <v>51.74</v>
          </cell>
          <cell r="AD219">
            <v>51.74</v>
          </cell>
          <cell r="AM219">
            <v>0</v>
          </cell>
          <cell r="BD219">
            <v>23.47</v>
          </cell>
          <cell r="BE219">
            <v>11.2</v>
          </cell>
          <cell r="BF219">
            <v>11.23</v>
          </cell>
          <cell r="BG219">
            <v>11.21</v>
          </cell>
          <cell r="BH219">
            <v>11.19</v>
          </cell>
          <cell r="BI219">
            <v>11.21</v>
          </cell>
          <cell r="BJ219">
            <v>11.23</v>
          </cell>
          <cell r="BK219">
            <v>11.21</v>
          </cell>
          <cell r="BL219">
            <v>11.19</v>
          </cell>
        </row>
        <row r="220">
          <cell r="A220" t="str">
            <v>SI1591_20250224</v>
          </cell>
          <cell r="B220" t="str">
            <v>유재호</v>
          </cell>
          <cell r="C220">
            <v>45712</v>
          </cell>
          <cell r="D220" t="str">
            <v>라네즈 워터슬리핑마스크 70ML (20AD 단캡</v>
          </cell>
          <cell r="E220" t="str">
            <v>외경</v>
          </cell>
          <cell r="F220">
            <v>65.05</v>
          </cell>
          <cell r="G220">
            <v>65.14</v>
          </cell>
          <cell r="H220">
            <v>65.12</v>
          </cell>
          <cell r="I220">
            <v>65.069999999999993</v>
          </cell>
          <cell r="V220" t="str">
            <v>나사경</v>
          </cell>
          <cell r="W220">
            <v>59.68</v>
          </cell>
          <cell r="X220">
            <v>59.68</v>
          </cell>
          <cell r="Y220">
            <v>59.69</v>
          </cell>
          <cell r="Z220">
            <v>59.68</v>
          </cell>
          <cell r="AM220">
            <v>0</v>
          </cell>
          <cell r="BD220">
            <v>36.979999999999997</v>
          </cell>
          <cell r="BE220">
            <v>11.03</v>
          </cell>
          <cell r="BF220">
            <v>10.68</v>
          </cell>
          <cell r="BG220">
            <v>10.66</v>
          </cell>
          <cell r="BH220">
            <v>10.78</v>
          </cell>
        </row>
        <row r="221">
          <cell r="A221" t="str">
            <v>SI1596_20250219</v>
          </cell>
          <cell r="B221" t="str">
            <v>장세래</v>
          </cell>
          <cell r="C221">
            <v>45707</v>
          </cell>
          <cell r="D221" t="str">
            <v>라네즈 워터슬리핑마스크 70ML (20AD 외용기</v>
          </cell>
          <cell r="E221" t="str">
            <v>언더컷</v>
          </cell>
          <cell r="F221">
            <v>56.45</v>
          </cell>
          <cell r="G221">
            <v>56.45</v>
          </cell>
          <cell r="H221">
            <v>56.43</v>
          </cell>
          <cell r="I221">
            <v>56.42</v>
          </cell>
          <cell r="V221" t="str">
            <v>나사경</v>
          </cell>
          <cell r="AM221">
            <v>0</v>
          </cell>
        </row>
        <row r="222">
          <cell r="A222" t="str">
            <v>SI1541_20250204</v>
          </cell>
          <cell r="B222" t="str">
            <v>장세래</v>
          </cell>
          <cell r="C222">
            <v>45701</v>
          </cell>
          <cell r="D222" t="str">
            <v>아이오페 스템Ⅲ 클리니컬 리커버리 크림 50ML(25) 외캡 사출</v>
          </cell>
          <cell r="E222" t="str">
            <v>내경</v>
          </cell>
          <cell r="F222">
            <v>72.33</v>
          </cell>
          <cell r="G222">
            <v>72.3</v>
          </cell>
          <cell r="H222">
            <v>72.36</v>
          </cell>
          <cell r="I222">
            <v>72.34</v>
          </cell>
          <cell r="V222" t="str">
            <v>외경</v>
          </cell>
          <cell r="W222">
            <v>75.010000000000005</v>
          </cell>
          <cell r="X222">
            <v>75</v>
          </cell>
          <cell r="Y222">
            <v>75.040000000000006</v>
          </cell>
          <cell r="Z222">
            <v>75</v>
          </cell>
          <cell r="AM222" t="str">
            <v>리브</v>
          </cell>
          <cell r="BE222">
            <v>18.16</v>
          </cell>
          <cell r="BF222">
            <v>18.32</v>
          </cell>
          <cell r="BG222">
            <v>18.170000000000002</v>
          </cell>
          <cell r="BH222">
            <v>18.29</v>
          </cell>
        </row>
        <row r="223">
          <cell r="A223" t="str">
            <v>SI1540_20250204</v>
          </cell>
          <cell r="B223" t="str">
            <v>장세래</v>
          </cell>
          <cell r="C223">
            <v>45700</v>
          </cell>
          <cell r="D223" t="str">
            <v>아이오페 스템Ⅲ 클리니컬 리커버리 크림 50ML(25) 캡장식 사출</v>
          </cell>
          <cell r="E223" t="str">
            <v>외경</v>
          </cell>
          <cell r="F223">
            <v>74.650000000000006</v>
          </cell>
          <cell r="G223">
            <v>74.66</v>
          </cell>
          <cell r="H223">
            <v>74.67</v>
          </cell>
          <cell r="I223">
            <v>74.650000000000006</v>
          </cell>
          <cell r="V223" t="str">
            <v>언더컷</v>
          </cell>
          <cell r="W223">
            <v>47.02</v>
          </cell>
          <cell r="X223">
            <v>47.03</v>
          </cell>
          <cell r="Y223">
            <v>47.03</v>
          </cell>
          <cell r="Z223">
            <v>47.02</v>
          </cell>
          <cell r="AM223">
            <v>0</v>
          </cell>
          <cell r="BE223">
            <v>8.6999999999999993</v>
          </cell>
          <cell r="BF223">
            <v>8.7899999999999991</v>
          </cell>
          <cell r="BG223">
            <v>8.81</v>
          </cell>
          <cell r="BH223">
            <v>8.74</v>
          </cell>
        </row>
        <row r="224">
          <cell r="A224" t="str">
            <v>SI1542_20250204</v>
          </cell>
          <cell r="B224" t="str">
            <v>유재호</v>
          </cell>
          <cell r="C224">
            <v>45699</v>
          </cell>
          <cell r="D224" t="str">
            <v>아이오페 스템Ⅲ 클리니컬 리커버리 크림 50ML(25) 내캡 사출</v>
          </cell>
          <cell r="E224">
            <v>0</v>
          </cell>
          <cell r="F224">
            <v>71.86</v>
          </cell>
          <cell r="G224">
            <v>71.89</v>
          </cell>
          <cell r="H224">
            <v>71.88</v>
          </cell>
          <cell r="I224">
            <v>71.87</v>
          </cell>
          <cell r="V224" t="str">
            <v>나사경</v>
          </cell>
          <cell r="W224">
            <v>58.87</v>
          </cell>
          <cell r="X224">
            <v>58.89</v>
          </cell>
          <cell r="Y224">
            <v>58.89</v>
          </cell>
          <cell r="Z224">
            <v>58.88</v>
          </cell>
          <cell r="AM224">
            <v>0</v>
          </cell>
          <cell r="BD224">
            <v>19.690000000000001</v>
          </cell>
          <cell r="BE224">
            <v>17.53</v>
          </cell>
          <cell r="BF224">
            <v>17.66</v>
          </cell>
          <cell r="BG224">
            <v>17.68</v>
          </cell>
          <cell r="BH224">
            <v>17.649999999999999</v>
          </cell>
        </row>
        <row r="225">
          <cell r="A225" t="str">
            <v>SI1543_20250204</v>
          </cell>
          <cell r="B225" t="str">
            <v>유재호</v>
          </cell>
          <cell r="C225">
            <v>45699</v>
          </cell>
          <cell r="D225" t="str">
            <v>아이오페 스템Ⅲ 클리니컬 리커버리 크림 50ML(25) 내용기</v>
          </cell>
          <cell r="E225" t="str">
            <v>리브</v>
          </cell>
          <cell r="F225">
            <v>51.69</v>
          </cell>
          <cell r="G225">
            <v>51.7</v>
          </cell>
          <cell r="H225">
            <v>51.72</v>
          </cell>
          <cell r="I225">
            <v>51.73</v>
          </cell>
          <cell r="J225">
            <v>51.72</v>
          </cell>
          <cell r="K225">
            <v>51.7</v>
          </cell>
          <cell r="L225">
            <v>51.71</v>
          </cell>
          <cell r="M225">
            <v>51.7</v>
          </cell>
          <cell r="V225" t="str">
            <v>외경</v>
          </cell>
          <cell r="W225">
            <v>57.17</v>
          </cell>
          <cell r="X225">
            <v>57.18</v>
          </cell>
          <cell r="Y225">
            <v>57.18</v>
          </cell>
          <cell r="Z225">
            <v>57.17</v>
          </cell>
          <cell r="AA225">
            <v>57.18</v>
          </cell>
          <cell r="AB225">
            <v>57.17</v>
          </cell>
          <cell r="AC225">
            <v>57.18</v>
          </cell>
          <cell r="AD225">
            <v>57.17</v>
          </cell>
          <cell r="AM225">
            <v>0</v>
          </cell>
          <cell r="BD225">
            <v>23.28</v>
          </cell>
          <cell r="BE225">
            <v>11.22</v>
          </cell>
          <cell r="BF225">
            <v>11.17</v>
          </cell>
          <cell r="BG225">
            <v>11.16</v>
          </cell>
          <cell r="BH225">
            <v>11.21</v>
          </cell>
          <cell r="BI225">
            <v>11.14</v>
          </cell>
          <cell r="BJ225">
            <v>11.16</v>
          </cell>
          <cell r="BK225">
            <v>11.19</v>
          </cell>
          <cell r="BL225">
            <v>11.17</v>
          </cell>
        </row>
        <row r="226">
          <cell r="A226" t="str">
            <v>SI1591_20250116</v>
          </cell>
          <cell r="B226" t="str">
            <v>유재호</v>
          </cell>
          <cell r="C226">
            <v>45681</v>
          </cell>
          <cell r="D226" t="str">
            <v>라네즈 워터슬리핑마스크 70ML (20AD 단캡</v>
          </cell>
          <cell r="E226" t="str">
            <v>외경</v>
          </cell>
          <cell r="F226">
            <v>65.11</v>
          </cell>
          <cell r="G226">
            <v>65.12</v>
          </cell>
          <cell r="H226">
            <v>65.12</v>
          </cell>
          <cell r="I226">
            <v>65.12</v>
          </cell>
          <cell r="V226" t="str">
            <v>나사경</v>
          </cell>
          <cell r="W226">
            <v>59.74</v>
          </cell>
          <cell r="X226">
            <v>59.75</v>
          </cell>
          <cell r="Y226">
            <v>59.75</v>
          </cell>
          <cell r="Z226">
            <v>59.74</v>
          </cell>
          <cell r="AM226">
            <v>0</v>
          </cell>
          <cell r="BD226">
            <v>38.11</v>
          </cell>
          <cell r="BE226">
            <v>10.4</v>
          </cell>
          <cell r="BF226">
            <v>10.64</v>
          </cell>
          <cell r="BG226">
            <v>10.41</v>
          </cell>
          <cell r="BH226">
            <v>10.41</v>
          </cell>
        </row>
        <row r="227">
          <cell r="A227" t="str">
            <v>SI1592_20250116</v>
          </cell>
          <cell r="B227" t="str">
            <v>유재호</v>
          </cell>
          <cell r="C227">
            <v>45679</v>
          </cell>
          <cell r="D227" t="str">
            <v>라네즈 워터슬리핑마스크 70ML (20AD 내용기</v>
          </cell>
          <cell r="E227" t="str">
            <v>외경</v>
          </cell>
          <cell r="F227">
            <v>78.150000000000006</v>
          </cell>
          <cell r="G227">
            <v>78.14</v>
          </cell>
          <cell r="H227">
            <v>78.11</v>
          </cell>
          <cell r="I227">
            <v>78.13</v>
          </cell>
          <cell r="J227">
            <v>78.13</v>
          </cell>
          <cell r="K227">
            <v>78.14</v>
          </cell>
          <cell r="L227">
            <v>78.150000000000006</v>
          </cell>
          <cell r="M227">
            <v>78.150000000000006</v>
          </cell>
          <cell r="V227" t="str">
            <v>나사경</v>
          </cell>
          <cell r="AM227">
            <v>0</v>
          </cell>
          <cell r="BD227">
            <v>25.18</v>
          </cell>
          <cell r="BE227">
            <v>17.559999999999999</v>
          </cell>
          <cell r="BF227">
            <v>17.649999999999999</v>
          </cell>
          <cell r="BG227">
            <v>17.68</v>
          </cell>
          <cell r="BH227">
            <v>17.59</v>
          </cell>
          <cell r="BI227">
            <v>17.579999999999998</v>
          </cell>
          <cell r="BJ227">
            <v>17.63</v>
          </cell>
          <cell r="BK227">
            <v>17.62</v>
          </cell>
          <cell r="BL227">
            <v>17.59</v>
          </cell>
        </row>
        <row r="228">
          <cell r="A228" t="str">
            <v>SI1590_20250116</v>
          </cell>
          <cell r="B228" t="str">
            <v>유재호</v>
          </cell>
          <cell r="C228">
            <v>45679</v>
          </cell>
          <cell r="D228" t="str">
            <v>라네즈 시카슬리핑마스크 60ML (21AD 내용기</v>
          </cell>
          <cell r="E228" t="str">
            <v>외경</v>
          </cell>
          <cell r="F228">
            <v>58.12</v>
          </cell>
          <cell r="G228">
            <v>58.11</v>
          </cell>
          <cell r="H228">
            <v>58.1</v>
          </cell>
          <cell r="I228">
            <v>58.12</v>
          </cell>
          <cell r="J228">
            <v>58.13</v>
          </cell>
          <cell r="K228">
            <v>58.13</v>
          </cell>
          <cell r="L228">
            <v>58.12</v>
          </cell>
          <cell r="M228">
            <v>58.1</v>
          </cell>
          <cell r="V228" t="str">
            <v>나사경</v>
          </cell>
          <cell r="AM228">
            <v>0</v>
          </cell>
          <cell r="BD228">
            <v>24.83</v>
          </cell>
          <cell r="BE228">
            <v>14.73</v>
          </cell>
          <cell r="BF228">
            <v>14.73</v>
          </cell>
          <cell r="BG228">
            <v>14.72</v>
          </cell>
          <cell r="BH228">
            <v>14.71</v>
          </cell>
          <cell r="BI228">
            <v>14.67</v>
          </cell>
          <cell r="BJ228">
            <v>14.7</v>
          </cell>
          <cell r="BK228">
            <v>14.67</v>
          </cell>
          <cell r="BL228">
            <v>14.66</v>
          </cell>
        </row>
        <row r="229">
          <cell r="A229" t="str">
            <v>SI1558_20250120</v>
          </cell>
          <cell r="B229" t="str">
            <v>유재호</v>
          </cell>
          <cell r="C229">
            <v>45677</v>
          </cell>
          <cell r="D229" t="str">
            <v>라보에이치 모발강화 트리트먼트 200ml 50파이 장식</v>
          </cell>
          <cell r="E229" t="str">
            <v>외경</v>
          </cell>
          <cell r="F229">
            <v>44.38</v>
          </cell>
          <cell r="G229">
            <v>44.36</v>
          </cell>
          <cell r="H229">
            <v>44.37</v>
          </cell>
          <cell r="I229">
            <v>44.36</v>
          </cell>
          <cell r="J229">
            <v>44.36</v>
          </cell>
          <cell r="K229">
            <v>44.37</v>
          </cell>
          <cell r="L229">
            <v>44.36</v>
          </cell>
          <cell r="M229">
            <v>44.36</v>
          </cell>
          <cell r="V229" t="str">
            <v>나사경</v>
          </cell>
          <cell r="W229">
            <v>43.8</v>
          </cell>
          <cell r="X229">
            <v>43.81</v>
          </cell>
          <cell r="Y229">
            <v>43.81</v>
          </cell>
          <cell r="Z229">
            <v>43.81</v>
          </cell>
          <cell r="AA229">
            <v>43.82</v>
          </cell>
          <cell r="AB229">
            <v>43.81</v>
          </cell>
          <cell r="AC229">
            <v>43.81</v>
          </cell>
          <cell r="AD229">
            <v>43.8</v>
          </cell>
          <cell r="AM229">
            <v>0</v>
          </cell>
          <cell r="BD229">
            <v>10.76</v>
          </cell>
          <cell r="BE229">
            <v>2.29</v>
          </cell>
          <cell r="BF229">
            <v>2.2999999999999998</v>
          </cell>
          <cell r="BG229">
            <v>2.3199999999999998</v>
          </cell>
          <cell r="BH229">
            <v>2.2999999999999998</v>
          </cell>
          <cell r="BI229">
            <v>2.2799999999999998</v>
          </cell>
          <cell r="BJ229">
            <v>2.29</v>
          </cell>
          <cell r="BK229">
            <v>2.3199999999999998</v>
          </cell>
          <cell r="BL229">
            <v>2.31</v>
          </cell>
        </row>
        <row r="230">
          <cell r="A230" t="str">
            <v>SI1560_20250120</v>
          </cell>
          <cell r="B230" t="str">
            <v>유재호</v>
          </cell>
          <cell r="C230">
            <v>45677</v>
          </cell>
          <cell r="D230" t="str">
            <v>라보에이치 모발강화 트리트먼트 300ml 60파이 장식</v>
          </cell>
          <cell r="E230" t="str">
            <v>외경</v>
          </cell>
          <cell r="F230">
            <v>53.46</v>
          </cell>
          <cell r="G230">
            <v>53.45</v>
          </cell>
          <cell r="H230">
            <v>53.45</v>
          </cell>
          <cell r="I230">
            <v>53.45</v>
          </cell>
          <cell r="J230">
            <v>53.46</v>
          </cell>
          <cell r="K230">
            <v>53.45</v>
          </cell>
          <cell r="L230">
            <v>53.46</v>
          </cell>
          <cell r="M230">
            <v>53.47</v>
          </cell>
          <cell r="V230" t="str">
            <v>나사경</v>
          </cell>
          <cell r="W230">
            <v>52.98</v>
          </cell>
          <cell r="X230">
            <v>52.97</v>
          </cell>
          <cell r="Y230">
            <v>52.97</v>
          </cell>
          <cell r="Z230">
            <v>52.98</v>
          </cell>
          <cell r="AA230">
            <v>52.97</v>
          </cell>
          <cell r="AB230">
            <v>52.96</v>
          </cell>
          <cell r="AC230">
            <v>52.97</v>
          </cell>
          <cell r="AD230">
            <v>52.96</v>
          </cell>
          <cell r="AM230">
            <v>0</v>
          </cell>
          <cell r="BD230">
            <v>11.42</v>
          </cell>
          <cell r="BE230">
            <v>3.29</v>
          </cell>
          <cell r="BF230">
            <v>3.31</v>
          </cell>
          <cell r="BG230">
            <v>3.31</v>
          </cell>
          <cell r="BH230">
            <v>3.31</v>
          </cell>
          <cell r="BI230">
            <v>3.29</v>
          </cell>
          <cell r="BJ230">
            <v>3.33</v>
          </cell>
          <cell r="BK230">
            <v>3.29</v>
          </cell>
          <cell r="BL230">
            <v>3.3</v>
          </cell>
        </row>
        <row r="232">
          <cell r="A232" t="str">
            <v>SI1557_20250116</v>
          </cell>
          <cell r="C232">
            <v>45677</v>
          </cell>
          <cell r="D232" t="str">
            <v>라보에이치 모발강화 트리트먼트 200ml 50파이 원터치캡</v>
          </cell>
          <cell r="E232" t="str">
            <v>외경</v>
          </cell>
          <cell r="F232">
            <v>45.62</v>
          </cell>
          <cell r="G232">
            <v>45.63</v>
          </cell>
          <cell r="H232">
            <v>45.63</v>
          </cell>
          <cell r="I232">
            <v>45.64</v>
          </cell>
          <cell r="J232">
            <v>45.62</v>
          </cell>
          <cell r="K232">
            <v>45.63</v>
          </cell>
          <cell r="L232">
            <v>45.63</v>
          </cell>
          <cell r="M232">
            <v>45.62</v>
          </cell>
          <cell r="V232" t="str">
            <v>나사경</v>
          </cell>
          <cell r="W232">
            <v>23.79</v>
          </cell>
          <cell r="X232">
            <v>23.8</v>
          </cell>
          <cell r="Y232">
            <v>23.79</v>
          </cell>
          <cell r="Z232">
            <v>23.78</v>
          </cell>
          <cell r="AA232">
            <v>23.79</v>
          </cell>
          <cell r="AB232">
            <v>23.8</v>
          </cell>
          <cell r="AC232">
            <v>23.79</v>
          </cell>
          <cell r="AD232">
            <v>23.78</v>
          </cell>
          <cell r="AM232">
            <v>0</v>
          </cell>
          <cell r="BD232">
            <v>33.630000000000003</v>
          </cell>
          <cell r="BE232">
            <v>10.41</v>
          </cell>
          <cell r="BF232">
            <v>10.41</v>
          </cell>
          <cell r="BG232">
            <v>10.43</v>
          </cell>
          <cell r="BH232">
            <v>10.44</v>
          </cell>
          <cell r="BI232">
            <v>10.41</v>
          </cell>
          <cell r="BJ232">
            <v>10.44</v>
          </cell>
          <cell r="BK232">
            <v>10.49</v>
          </cell>
          <cell r="BL232">
            <v>10.49</v>
          </cell>
        </row>
        <row r="233">
          <cell r="A233" t="str">
            <v>SI1538_20241008</v>
          </cell>
          <cell r="B233" t="str">
            <v>장세래</v>
          </cell>
          <cell r="C233">
            <v>45579</v>
          </cell>
          <cell r="D233" t="str">
            <v>설화수 진설클렌징폼 150ml (25AD 외캡</v>
          </cell>
          <cell r="E233" t="str">
            <v>외경</v>
          </cell>
          <cell r="F233">
            <v>48.76</v>
          </cell>
          <cell r="G233">
            <v>48.74</v>
          </cell>
          <cell r="H233">
            <v>48.79</v>
          </cell>
          <cell r="I233">
            <v>48.76</v>
          </cell>
          <cell r="AN233">
            <v>45.14</v>
          </cell>
          <cell r="AO233">
            <v>45.16</v>
          </cell>
          <cell r="AP233">
            <v>45.17</v>
          </cell>
          <cell r="AQ233">
            <v>45.14</v>
          </cell>
          <cell r="BD233">
            <v>35</v>
          </cell>
          <cell r="BE233">
            <v>9.73</v>
          </cell>
          <cell r="BF233">
            <v>9.74</v>
          </cell>
          <cell r="BG233">
            <v>9.77</v>
          </cell>
          <cell r="BH233">
            <v>9.75</v>
          </cell>
        </row>
        <row r="234">
          <cell r="A234" t="str">
            <v>SI0992_20241014</v>
          </cell>
          <cell r="B234" t="str">
            <v>장세래</v>
          </cell>
          <cell r="C234">
            <v>45583</v>
          </cell>
          <cell r="D234" t="str">
            <v>일리윤 히알루론모이스춰수분크림 100ML (24 외용기 사출</v>
          </cell>
          <cell r="E234" t="str">
            <v>외경</v>
          </cell>
          <cell r="F234">
            <v>75.47</v>
          </cell>
          <cell r="G234">
            <v>75.430000000000007</v>
          </cell>
          <cell r="H234">
            <v>75.47</v>
          </cell>
          <cell r="I234">
            <v>75.55</v>
          </cell>
          <cell r="N234">
            <v>75.3</v>
          </cell>
          <cell r="O234">
            <v>75.3</v>
          </cell>
          <cell r="P234">
            <v>75.33</v>
          </cell>
          <cell r="Q234">
            <v>75.33</v>
          </cell>
          <cell r="BD234">
            <v>22.38</v>
          </cell>
          <cell r="BE234">
            <v>24.69</v>
          </cell>
          <cell r="BF234">
            <v>24.66</v>
          </cell>
          <cell r="BG234">
            <v>24.69</v>
          </cell>
          <cell r="BH234">
            <v>24.65</v>
          </cell>
        </row>
        <row r="235">
          <cell r="A235" t="str">
            <v>SI0993_20241014</v>
          </cell>
          <cell r="B235" t="str">
            <v>장세래</v>
          </cell>
          <cell r="C235">
            <v>45583</v>
          </cell>
          <cell r="D235" t="str">
            <v>일리윤 프로바이오틱스 스킨 배리어 크림 100ML 캡 사출</v>
          </cell>
          <cell r="E235" t="str">
            <v>외경</v>
          </cell>
          <cell r="F235">
            <v>75.47</v>
          </cell>
          <cell r="G235">
            <v>75.489999999999995</v>
          </cell>
          <cell r="H235">
            <v>75.48</v>
          </cell>
          <cell r="I235">
            <v>75.5</v>
          </cell>
          <cell r="N235">
            <v>75.069999999999993</v>
          </cell>
          <cell r="O235">
            <v>75.06</v>
          </cell>
          <cell r="P235">
            <v>75.08</v>
          </cell>
          <cell r="Q235">
            <v>75.08</v>
          </cell>
          <cell r="V235" t="str">
            <v>나사경</v>
          </cell>
          <cell r="W235">
            <v>70.16</v>
          </cell>
          <cell r="X235">
            <v>70.180000000000007</v>
          </cell>
          <cell r="Y235">
            <v>70.17</v>
          </cell>
          <cell r="Z235">
            <v>70.13</v>
          </cell>
          <cell r="AE235">
            <v>69.709999999999994</v>
          </cell>
          <cell r="AF235">
            <v>69.7</v>
          </cell>
          <cell r="AG235">
            <v>69.69</v>
          </cell>
          <cell r="AH235">
            <v>69.709999999999994</v>
          </cell>
          <cell r="BD235">
            <v>48.77</v>
          </cell>
          <cell r="BE235">
            <v>15.27</v>
          </cell>
          <cell r="BF235">
            <v>15.2</v>
          </cell>
          <cell r="BG235">
            <v>15.25</v>
          </cell>
          <cell r="BH235">
            <v>15.23</v>
          </cell>
        </row>
        <row r="236">
          <cell r="A236" t="str">
            <v>SI0994_20241014</v>
          </cell>
          <cell r="B236" t="str">
            <v>장세래</v>
          </cell>
          <cell r="C236">
            <v>45584</v>
          </cell>
          <cell r="D236" t="str">
            <v>일리윤 히알루론모이스춰수분크림 100ML (21 내용기 사출</v>
          </cell>
          <cell r="E236" t="str">
            <v>언더컷</v>
          </cell>
          <cell r="F236">
            <v>72.13</v>
          </cell>
          <cell r="G236">
            <v>72.209999999999994</v>
          </cell>
          <cell r="H236">
            <v>72.16</v>
          </cell>
          <cell r="I236">
            <v>72.150000000000006</v>
          </cell>
          <cell r="N236">
            <v>71.8</v>
          </cell>
          <cell r="O236">
            <v>71.790000000000006</v>
          </cell>
          <cell r="P236">
            <v>71.81</v>
          </cell>
          <cell r="Q236">
            <v>71.81</v>
          </cell>
          <cell r="V236" t="str">
            <v>나사경</v>
          </cell>
          <cell r="W236">
            <v>71.099999999999994</v>
          </cell>
          <cell r="X236">
            <v>71.150000000000006</v>
          </cell>
          <cell r="Y236">
            <v>71.11</v>
          </cell>
          <cell r="Z236">
            <v>71.099999999999994</v>
          </cell>
          <cell r="AE236">
            <v>70.72</v>
          </cell>
          <cell r="AF236">
            <v>70.739999999999995</v>
          </cell>
          <cell r="AG236">
            <v>70.72</v>
          </cell>
          <cell r="AH236">
            <v>70.72</v>
          </cell>
          <cell r="BE236">
            <v>24.27</v>
          </cell>
          <cell r="BF236">
            <v>24.27</v>
          </cell>
          <cell r="BG236">
            <v>24.22</v>
          </cell>
          <cell r="BH236">
            <v>24.17</v>
          </cell>
        </row>
        <row r="237">
          <cell r="A237" t="str">
            <v>SI1539_20241017</v>
          </cell>
          <cell r="B237" t="str">
            <v>유재호</v>
          </cell>
          <cell r="C237">
            <v>45587</v>
          </cell>
          <cell r="D237" t="str">
            <v>설화수 진설클렌징폼 150ml (25AD 내캡</v>
          </cell>
          <cell r="E237" t="str">
            <v>외경</v>
          </cell>
          <cell r="F237">
            <v>45.97</v>
          </cell>
          <cell r="G237">
            <v>45.98</v>
          </cell>
          <cell r="H237">
            <v>45.97</v>
          </cell>
          <cell r="I237">
            <v>45.99</v>
          </cell>
          <cell r="BD237">
            <v>15.17</v>
          </cell>
          <cell r="BE237">
            <v>7.06</v>
          </cell>
          <cell r="BF237">
            <v>7.05</v>
          </cell>
          <cell r="BG237">
            <v>7.06</v>
          </cell>
          <cell r="BH237">
            <v>7.05</v>
          </cell>
        </row>
        <row r="238">
          <cell r="A238" t="str">
            <v>SI1553_20241017</v>
          </cell>
          <cell r="B238" t="str">
            <v>유재호</v>
          </cell>
          <cell r="C238">
            <v>45587</v>
          </cell>
          <cell r="D238" t="str">
            <v>설화수 진설클렌징폼 견본 40ml (25AD 내캡</v>
          </cell>
          <cell r="E238" t="str">
            <v>외경</v>
          </cell>
          <cell r="F238">
            <v>32.43</v>
          </cell>
          <cell r="G238">
            <v>32.42</v>
          </cell>
          <cell r="H238">
            <v>32.450000000000003</v>
          </cell>
          <cell r="I238">
            <v>32.44</v>
          </cell>
          <cell r="BD238">
            <v>15.12</v>
          </cell>
          <cell r="BE238">
            <v>3.33</v>
          </cell>
          <cell r="BF238">
            <v>3.32</v>
          </cell>
          <cell r="BG238">
            <v>3.33</v>
          </cell>
          <cell r="BH238">
            <v>3.32</v>
          </cell>
        </row>
        <row r="239">
          <cell r="A239" t="str">
            <v>SI1538_20241017</v>
          </cell>
          <cell r="B239" t="str">
            <v>김도균</v>
          </cell>
          <cell r="C239">
            <v>45588</v>
          </cell>
          <cell r="D239" t="str">
            <v>설화수 진설클렌징폼 150ml (25AD 외캡</v>
          </cell>
          <cell r="E239" t="str">
            <v>외경</v>
          </cell>
          <cell r="F239">
            <v>48.77</v>
          </cell>
          <cell r="G239">
            <v>48.79</v>
          </cell>
          <cell r="H239">
            <v>48.78</v>
          </cell>
          <cell r="I239">
            <v>48.77</v>
          </cell>
          <cell r="V239" t="str">
            <v>내경</v>
          </cell>
          <cell r="W239">
            <v>46</v>
          </cell>
          <cell r="X239">
            <v>46</v>
          </cell>
          <cell r="Y239">
            <v>45.92</v>
          </cell>
          <cell r="Z239">
            <v>46.02</v>
          </cell>
          <cell r="AM239" t="str">
            <v>언더컷</v>
          </cell>
          <cell r="AN239">
            <v>45.11</v>
          </cell>
          <cell r="AO239">
            <v>45.12</v>
          </cell>
          <cell r="AP239">
            <v>45.13</v>
          </cell>
          <cell r="AQ239">
            <v>45.13</v>
          </cell>
          <cell r="BD239">
            <v>35.200000000000003</v>
          </cell>
          <cell r="BE239">
            <v>9.75</v>
          </cell>
          <cell r="BF239">
            <v>9.75</v>
          </cell>
          <cell r="BG239">
            <v>9.77</v>
          </cell>
          <cell r="BH239">
            <v>9.74</v>
          </cell>
        </row>
        <row r="240">
          <cell r="A240" t="str">
            <v>SI1554_20241017-1</v>
          </cell>
          <cell r="B240" t="str">
            <v>유재호</v>
          </cell>
          <cell r="C240">
            <v>45588</v>
          </cell>
          <cell r="D240" t="str">
            <v>설화수 진설클렌징폼 견본 40ml (25AD 외캡</v>
          </cell>
          <cell r="E240" t="str">
            <v>외경</v>
          </cell>
          <cell r="F240">
            <v>34.47</v>
          </cell>
          <cell r="G240">
            <v>34.47</v>
          </cell>
          <cell r="H240">
            <v>34.47</v>
          </cell>
          <cell r="I240">
            <v>34.46</v>
          </cell>
          <cell r="BD240">
            <v>23.33</v>
          </cell>
          <cell r="BE240">
            <v>4.0599999999999996</v>
          </cell>
          <cell r="BF240">
            <v>4.07</v>
          </cell>
          <cell r="BG240">
            <v>4.08</v>
          </cell>
          <cell r="BH240">
            <v>4.0599999999999996</v>
          </cell>
        </row>
        <row r="241">
          <cell r="A241" t="str">
            <v>SI1554_20241017-2</v>
          </cell>
          <cell r="B241" t="str">
            <v>유재호</v>
          </cell>
          <cell r="C241">
            <v>45588</v>
          </cell>
          <cell r="D241" t="str">
            <v>설화수 진설클렌징폼 견본 40ml (25AD 외캡</v>
          </cell>
          <cell r="E241" t="str">
            <v>외경</v>
          </cell>
          <cell r="F241">
            <v>34.47</v>
          </cell>
          <cell r="G241">
            <v>34.47</v>
          </cell>
          <cell r="H241">
            <v>34.47</v>
          </cell>
          <cell r="I241">
            <v>34.46</v>
          </cell>
          <cell r="BD241">
            <v>23.33</v>
          </cell>
          <cell r="BE241">
            <v>4.0599999999999996</v>
          </cell>
          <cell r="BF241">
            <v>4.07</v>
          </cell>
          <cell r="BG241">
            <v>4.08</v>
          </cell>
          <cell r="BH241">
            <v>4.0599999999999996</v>
          </cell>
        </row>
        <row r="242">
          <cell r="A242" t="str">
            <v>SI1554_20241017</v>
          </cell>
          <cell r="B242" t="str">
            <v>유재호</v>
          </cell>
          <cell r="C242">
            <v>45588</v>
          </cell>
          <cell r="D242" t="str">
            <v>설화수 진설클렌징폼 견본 40ml (25AD 외캡</v>
          </cell>
          <cell r="E242" t="str">
            <v>외경</v>
          </cell>
          <cell r="F242">
            <v>34.47</v>
          </cell>
          <cell r="G242">
            <v>34.47</v>
          </cell>
          <cell r="H242">
            <v>34.47</v>
          </cell>
          <cell r="I242">
            <v>34.46</v>
          </cell>
          <cell r="BD242">
            <v>23.33</v>
          </cell>
          <cell r="BE242">
            <v>4.0599999999999996</v>
          </cell>
          <cell r="BF242">
            <v>4.07</v>
          </cell>
          <cell r="BG242">
            <v>4.08</v>
          </cell>
          <cell r="BH242">
            <v>4.0599999999999996</v>
          </cell>
        </row>
        <row r="243">
          <cell r="A243" t="str">
            <v>SI1537_20241017</v>
          </cell>
          <cell r="B243" t="str">
            <v>김도균</v>
          </cell>
          <cell r="C243">
            <v>45588</v>
          </cell>
          <cell r="D243" t="str">
            <v>설화수 진설클렌징폼 150ml (25AD 캡장식</v>
          </cell>
          <cell r="E243" t="str">
            <v>외경</v>
          </cell>
          <cell r="F243">
            <v>45.59</v>
          </cell>
          <cell r="G243">
            <v>45.58</v>
          </cell>
          <cell r="H243">
            <v>45.57</v>
          </cell>
          <cell r="I243">
            <v>45.61</v>
          </cell>
          <cell r="V243" t="str">
            <v>내경</v>
          </cell>
          <cell r="W243">
            <v>42.21</v>
          </cell>
          <cell r="X243">
            <v>42.23</v>
          </cell>
          <cell r="Y243">
            <v>42.12</v>
          </cell>
          <cell r="Z243">
            <v>42.21</v>
          </cell>
          <cell r="AM243" t="str">
            <v>언더컷</v>
          </cell>
          <cell r="AN243">
            <v>43.35</v>
          </cell>
          <cell r="AO243">
            <v>43.36</v>
          </cell>
          <cell r="AP243">
            <v>43.33</v>
          </cell>
          <cell r="AQ243">
            <v>43.33</v>
          </cell>
          <cell r="BD243">
            <v>20.61</v>
          </cell>
          <cell r="BE243">
            <v>1.2</v>
          </cell>
          <cell r="BF243">
            <v>1.2</v>
          </cell>
          <cell r="BG243">
            <v>1.21</v>
          </cell>
          <cell r="BH243">
            <v>1.2</v>
          </cell>
        </row>
        <row r="244">
          <cell r="A244" t="str">
            <v>SI1544_20241017</v>
          </cell>
          <cell r="B244" t="str">
            <v>유재호</v>
          </cell>
          <cell r="C244">
            <v>45594</v>
          </cell>
          <cell r="D244" t="str">
            <v>설화수 진설클렌징폼 견본 15ml (25AD 외캡</v>
          </cell>
          <cell r="E244" t="str">
            <v>외경</v>
          </cell>
          <cell r="F244">
            <v>24.78</v>
          </cell>
          <cell r="G244">
            <v>24.79</v>
          </cell>
          <cell r="H244">
            <v>24.76</v>
          </cell>
          <cell r="I244">
            <v>24.77</v>
          </cell>
          <cell r="N244">
            <v>24.62</v>
          </cell>
          <cell r="O244">
            <v>24.62</v>
          </cell>
          <cell r="P244">
            <v>24.61</v>
          </cell>
          <cell r="Q244">
            <v>24.63</v>
          </cell>
          <cell r="V244" t="str">
            <v>내경</v>
          </cell>
          <cell r="AE244">
            <v>21.68</v>
          </cell>
          <cell r="AF244">
            <v>21.67</v>
          </cell>
          <cell r="AG244">
            <v>21.69</v>
          </cell>
          <cell r="AH244">
            <v>21.68</v>
          </cell>
          <cell r="BD244">
            <v>18.48</v>
          </cell>
          <cell r="BE244">
            <v>1.81</v>
          </cell>
          <cell r="BF244">
            <v>1.81</v>
          </cell>
          <cell r="BG244">
            <v>1.81</v>
          </cell>
          <cell r="BH244">
            <v>1.82</v>
          </cell>
        </row>
        <row r="245">
          <cell r="A245" t="str">
            <v>SI1545_20241017</v>
          </cell>
          <cell r="B245" t="str">
            <v>유재호</v>
          </cell>
          <cell r="C245">
            <v>45594</v>
          </cell>
          <cell r="D245" t="str">
            <v>설화수 진설클렌징폼 견본 15ml (25AD 내캡</v>
          </cell>
          <cell r="E245" t="str">
            <v>외경</v>
          </cell>
          <cell r="F245">
            <v>22.66</v>
          </cell>
          <cell r="G245">
            <v>22.65</v>
          </cell>
          <cell r="H245">
            <v>22.67</v>
          </cell>
          <cell r="I245">
            <v>22.64</v>
          </cell>
          <cell r="N245">
            <v>22.55</v>
          </cell>
          <cell r="O245">
            <v>22.56</v>
          </cell>
          <cell r="P245">
            <v>22.55</v>
          </cell>
          <cell r="Q245">
            <v>22.54</v>
          </cell>
          <cell r="V245" t="str">
            <v>나사경</v>
          </cell>
          <cell r="AE245">
            <v>11.03</v>
          </cell>
          <cell r="AF245">
            <v>11.03</v>
          </cell>
          <cell r="AG245">
            <v>11.04</v>
          </cell>
          <cell r="AH245">
            <v>11.04</v>
          </cell>
          <cell r="BD245">
            <v>14.29</v>
          </cell>
          <cell r="BE245">
            <v>2.0499999999999998</v>
          </cell>
          <cell r="BF245">
            <v>2.0499999999999998</v>
          </cell>
          <cell r="BG245">
            <v>2.06</v>
          </cell>
          <cell r="BH245">
            <v>2.06</v>
          </cell>
        </row>
        <row r="246">
          <cell r="A246" t="str">
            <v>SI1522_20241028</v>
          </cell>
          <cell r="B246" t="str">
            <v>유재호</v>
          </cell>
          <cell r="C246">
            <v>45594</v>
          </cell>
          <cell r="D246" t="str">
            <v>아이오페 슈퍼바이탈 크림 50ML(24EC 내캡</v>
          </cell>
          <cell r="E246" t="str">
            <v>언더컷</v>
          </cell>
          <cell r="F246">
            <v>65.55</v>
          </cell>
          <cell r="G246">
            <v>65.680000000000007</v>
          </cell>
          <cell r="H246">
            <v>65.66</v>
          </cell>
          <cell r="I246">
            <v>65.66</v>
          </cell>
          <cell r="N246">
            <v>65.31</v>
          </cell>
          <cell r="O246">
            <v>65.3</v>
          </cell>
          <cell r="P246">
            <v>65.3</v>
          </cell>
          <cell r="Q246">
            <v>65.31</v>
          </cell>
          <cell r="V246" t="str">
            <v>외경</v>
          </cell>
          <cell r="AE246">
            <v>66.09</v>
          </cell>
          <cell r="AF246">
            <v>66.13</v>
          </cell>
          <cell r="AG246">
            <v>66.099999999999994</v>
          </cell>
          <cell r="AH246">
            <v>66.11</v>
          </cell>
          <cell r="BD246">
            <v>19.02</v>
          </cell>
          <cell r="BE246">
            <v>15.09</v>
          </cell>
          <cell r="BF246">
            <v>15.09</v>
          </cell>
          <cell r="BG246">
            <v>15.23</v>
          </cell>
          <cell r="BH246">
            <v>15.09</v>
          </cell>
        </row>
        <row r="247">
          <cell r="A247" t="str">
            <v>SI1518_20241028</v>
          </cell>
          <cell r="B247" t="str">
            <v>장세래</v>
          </cell>
          <cell r="C247">
            <v>45594</v>
          </cell>
          <cell r="D247" t="str">
            <v>아이오페 슈퍼바이탈 크림 50ML(24EC 외용기</v>
          </cell>
          <cell r="E247" t="str">
            <v>외경</v>
          </cell>
          <cell r="F247">
            <v>69.09</v>
          </cell>
          <cell r="G247">
            <v>69.040000000000006</v>
          </cell>
          <cell r="H247">
            <v>69.05</v>
          </cell>
          <cell r="I247">
            <v>69.099999999999994</v>
          </cell>
          <cell r="N247">
            <v>68.95</v>
          </cell>
          <cell r="O247">
            <v>68.94</v>
          </cell>
          <cell r="P247">
            <v>68.959999999999994</v>
          </cell>
          <cell r="Q247">
            <v>68.95</v>
          </cell>
          <cell r="V247" t="str">
            <v>키잡이</v>
          </cell>
          <cell r="W247">
            <v>65.400000000000006</v>
          </cell>
          <cell r="X247">
            <v>65.39</v>
          </cell>
          <cell r="Y247">
            <v>65.400000000000006</v>
          </cell>
          <cell r="Z247">
            <v>65.400000000000006</v>
          </cell>
          <cell r="AE247">
            <v>65.27</v>
          </cell>
          <cell r="AF247">
            <v>65.260000000000005</v>
          </cell>
          <cell r="AG247">
            <v>65.260000000000005</v>
          </cell>
          <cell r="AH247">
            <v>65.25</v>
          </cell>
          <cell r="BE247">
            <v>25.69</v>
          </cell>
          <cell r="BF247">
            <v>25.81</v>
          </cell>
          <cell r="BG247">
            <v>25.88</v>
          </cell>
          <cell r="BH247">
            <v>25.68</v>
          </cell>
        </row>
        <row r="248">
          <cell r="A248" t="str">
            <v>SI1520_20241028</v>
          </cell>
          <cell r="B248" t="str">
            <v>장세래</v>
          </cell>
          <cell r="C248">
            <v>45594</v>
          </cell>
          <cell r="D248" t="str">
            <v>아이오페 슈퍼바이탈 크림 50ML(24EC 용기받침</v>
          </cell>
          <cell r="E248" t="str">
            <v>외경</v>
          </cell>
          <cell r="F248">
            <v>71.739999999999995</v>
          </cell>
          <cell r="G248">
            <v>71.7</v>
          </cell>
          <cell r="H248">
            <v>71.73</v>
          </cell>
          <cell r="I248">
            <v>71.73</v>
          </cell>
          <cell r="N248">
            <v>71.61</v>
          </cell>
          <cell r="O248">
            <v>71.61</v>
          </cell>
          <cell r="P248">
            <v>71.61</v>
          </cell>
          <cell r="Q248">
            <v>71.599999999999994</v>
          </cell>
          <cell r="V248" t="str">
            <v>언더컷</v>
          </cell>
          <cell r="W248">
            <v>63.26</v>
          </cell>
          <cell r="X248">
            <v>63.29</v>
          </cell>
          <cell r="Y248">
            <v>63.27</v>
          </cell>
          <cell r="Z248">
            <v>63.29</v>
          </cell>
          <cell r="AE248">
            <v>63.27</v>
          </cell>
          <cell r="AF248">
            <v>63.25</v>
          </cell>
          <cell r="AG248">
            <v>63.23</v>
          </cell>
          <cell r="AH248">
            <v>63.27</v>
          </cell>
          <cell r="BE248">
            <v>17.71</v>
          </cell>
          <cell r="BF248">
            <v>17.670000000000002</v>
          </cell>
          <cell r="BG248">
            <v>17.7</v>
          </cell>
          <cell r="BH248">
            <v>17.73</v>
          </cell>
        </row>
        <row r="249">
          <cell r="A249" t="str">
            <v>SI1516_20241028</v>
          </cell>
          <cell r="B249" t="str">
            <v>장세래</v>
          </cell>
          <cell r="C249">
            <v>45594</v>
          </cell>
          <cell r="D249" t="str">
            <v>아이오페 슈퍼바이탈 크림 50ML(24EC 외캡</v>
          </cell>
          <cell r="E249" t="str">
            <v>외경</v>
          </cell>
          <cell r="F249">
            <v>68.58</v>
          </cell>
          <cell r="G249">
            <v>68.569999999999993</v>
          </cell>
          <cell r="H249">
            <v>68.599999999999994</v>
          </cell>
          <cell r="I249">
            <v>68.59</v>
          </cell>
          <cell r="V249" t="str">
            <v>언더컷</v>
          </cell>
          <cell r="W249">
            <v>64.48</v>
          </cell>
          <cell r="X249">
            <v>64.47</v>
          </cell>
          <cell r="Y249">
            <v>64.45</v>
          </cell>
          <cell r="Z249">
            <v>64.459999999999994</v>
          </cell>
          <cell r="BE249">
            <v>22.86</v>
          </cell>
          <cell r="BF249">
            <v>22.97</v>
          </cell>
          <cell r="BG249">
            <v>22.91</v>
          </cell>
          <cell r="BH249">
            <v>23.06</v>
          </cell>
        </row>
        <row r="250">
          <cell r="A250" t="str">
            <v>SI1542_20241029</v>
          </cell>
          <cell r="B250" t="str">
            <v>장세래</v>
          </cell>
          <cell r="C250">
            <v>45596</v>
          </cell>
          <cell r="D250" t="str">
            <v>아이오페 스템Ⅲ 클리니컬 리커버리 크림 50ML(25) 내캡 사출</v>
          </cell>
          <cell r="E250" t="str">
            <v>내경</v>
          </cell>
          <cell r="F250">
            <v>60.88</v>
          </cell>
          <cell r="G250">
            <v>60.95</v>
          </cell>
          <cell r="H250">
            <v>60.94</v>
          </cell>
          <cell r="I250">
            <v>60.96</v>
          </cell>
          <cell r="N250">
            <v>60.48</v>
          </cell>
          <cell r="O250">
            <v>60.49</v>
          </cell>
          <cell r="P250">
            <v>60.48</v>
          </cell>
          <cell r="Q250">
            <v>60.54</v>
          </cell>
          <cell r="V250" t="str">
            <v>나사경</v>
          </cell>
          <cell r="W250">
            <v>58.88</v>
          </cell>
          <cell r="X250">
            <v>58.93</v>
          </cell>
          <cell r="Y250">
            <v>58.96</v>
          </cell>
          <cell r="Z250">
            <v>59</v>
          </cell>
          <cell r="AE250">
            <v>58.44</v>
          </cell>
          <cell r="AF250">
            <v>58.46</v>
          </cell>
          <cell r="AG250">
            <v>58.48</v>
          </cell>
          <cell r="AH250">
            <v>58.52</v>
          </cell>
          <cell r="BD250">
            <v>19.86</v>
          </cell>
          <cell r="BE250">
            <v>16.52</v>
          </cell>
          <cell r="BF250">
            <v>16.579999999999998</v>
          </cell>
          <cell r="BG250">
            <v>16.579999999999998</v>
          </cell>
          <cell r="BH250">
            <v>16.52</v>
          </cell>
        </row>
        <row r="251">
          <cell r="A251" t="str">
            <v>SI1540_20241029</v>
          </cell>
          <cell r="B251" t="str">
            <v>장세래</v>
          </cell>
          <cell r="C251">
            <v>45596</v>
          </cell>
          <cell r="D251" t="str">
            <v>아이오페 스템Ⅲ 클리니컬 리커버리 크림 50ML(25) 캡장식 사출</v>
          </cell>
          <cell r="E251" t="str">
            <v>외경</v>
          </cell>
          <cell r="F251">
            <v>74.39</v>
          </cell>
          <cell r="G251">
            <v>74.41</v>
          </cell>
          <cell r="H251">
            <v>74.45</v>
          </cell>
          <cell r="I251">
            <v>74.349999999999994</v>
          </cell>
          <cell r="N251">
            <v>74.290000000000006</v>
          </cell>
          <cell r="O251">
            <v>74.400000000000006</v>
          </cell>
          <cell r="P251">
            <v>74.39</v>
          </cell>
          <cell r="Q251">
            <v>74.290000000000006</v>
          </cell>
          <cell r="V251" t="str">
            <v>언더컷</v>
          </cell>
          <cell r="W251">
            <v>47.6</v>
          </cell>
          <cell r="X251">
            <v>47.9</v>
          </cell>
          <cell r="Y251">
            <v>47.9</v>
          </cell>
          <cell r="Z251">
            <v>47.6</v>
          </cell>
          <cell r="AE251">
            <v>47.1</v>
          </cell>
          <cell r="AF251">
            <v>47.1</v>
          </cell>
          <cell r="AG251">
            <v>47.09</v>
          </cell>
          <cell r="AH251">
            <v>47.1</v>
          </cell>
          <cell r="BD251">
            <v>27.02</v>
          </cell>
          <cell r="BE251">
            <v>10.39</v>
          </cell>
          <cell r="BF251">
            <v>10.66</v>
          </cell>
          <cell r="BG251">
            <v>10.7</v>
          </cell>
          <cell r="BH251">
            <v>10.44</v>
          </cell>
        </row>
        <row r="252">
          <cell r="A252" t="str">
            <v>SI1541_20241029</v>
          </cell>
          <cell r="B252" t="str">
            <v>한창구</v>
          </cell>
          <cell r="C252">
            <v>45597</v>
          </cell>
          <cell r="D252" t="str">
            <v>아이오페 스템Ⅲ 클리니컬 리커버리 크림 50ML(25) 외캡 사출</v>
          </cell>
          <cell r="E252" t="str">
            <v>외경</v>
          </cell>
          <cell r="F252">
            <v>74.959999999999994</v>
          </cell>
          <cell r="G252">
            <v>74.98</v>
          </cell>
          <cell r="H252">
            <v>74.98</v>
          </cell>
          <cell r="I252">
            <v>74.97</v>
          </cell>
          <cell r="N252">
            <v>74.900000000000006</v>
          </cell>
          <cell r="O252">
            <v>74.92</v>
          </cell>
          <cell r="P252">
            <v>74.930000000000007</v>
          </cell>
          <cell r="Q252">
            <v>74.92</v>
          </cell>
          <cell r="V252" t="str">
            <v>언더컷</v>
          </cell>
          <cell r="W252">
            <v>68.599999999999994</v>
          </cell>
          <cell r="X252">
            <v>68.62</v>
          </cell>
          <cell r="Y252">
            <v>68.62</v>
          </cell>
          <cell r="Z252">
            <v>68.599999999999994</v>
          </cell>
          <cell r="AE252">
            <v>68.48</v>
          </cell>
          <cell r="AF252">
            <v>68.52</v>
          </cell>
          <cell r="AG252">
            <v>68.540000000000006</v>
          </cell>
          <cell r="AH252">
            <v>68.489999999999995</v>
          </cell>
          <cell r="BD252">
            <v>18.760000000000002</v>
          </cell>
          <cell r="BE252">
            <v>21.28</v>
          </cell>
        </row>
        <row r="253">
          <cell r="A253" t="str">
            <v>SI1557_20241026</v>
          </cell>
          <cell r="B253" t="str">
            <v>유재호</v>
          </cell>
          <cell r="C253">
            <v>45597</v>
          </cell>
          <cell r="D253" t="str">
            <v>라보에이치 모발강화 트리트먼트 200ml 50파이 원터치캡</v>
          </cell>
          <cell r="E253" t="str">
            <v>외경</v>
          </cell>
          <cell r="F253">
            <v>45.37</v>
          </cell>
          <cell r="G253">
            <v>45.35</v>
          </cell>
          <cell r="H253">
            <v>45.38</v>
          </cell>
          <cell r="I253">
            <v>45.38</v>
          </cell>
          <cell r="J253">
            <v>45.39</v>
          </cell>
          <cell r="K253">
            <v>45.38</v>
          </cell>
          <cell r="L253">
            <v>45.4</v>
          </cell>
          <cell r="M253">
            <v>45.39</v>
          </cell>
          <cell r="N253">
            <v>45.2</v>
          </cell>
          <cell r="O253">
            <v>45.16</v>
          </cell>
          <cell r="P253">
            <v>45.26</v>
          </cell>
          <cell r="Q253">
            <v>45.2</v>
          </cell>
          <cell r="R253">
            <v>45.22</v>
          </cell>
          <cell r="S253">
            <v>45.24</v>
          </cell>
          <cell r="T253">
            <v>45.22</v>
          </cell>
          <cell r="U253">
            <v>45.24</v>
          </cell>
          <cell r="V253" t="str">
            <v>나사경</v>
          </cell>
          <cell r="W253">
            <v>23.76</v>
          </cell>
          <cell r="X253">
            <v>23.73</v>
          </cell>
          <cell r="Y253">
            <v>23.77</v>
          </cell>
          <cell r="Z253">
            <v>23.76</v>
          </cell>
          <cell r="AA253">
            <v>23.78</v>
          </cell>
          <cell r="AB253">
            <v>23.78</v>
          </cell>
          <cell r="AC253">
            <v>23.76</v>
          </cell>
          <cell r="AD253">
            <v>23.8</v>
          </cell>
          <cell r="AE253">
            <v>23.46</v>
          </cell>
          <cell r="AF253">
            <v>23.5</v>
          </cell>
          <cell r="AG253">
            <v>23.49</v>
          </cell>
          <cell r="AH253">
            <v>23.41</v>
          </cell>
          <cell r="AI253">
            <v>23.5</v>
          </cell>
          <cell r="AJ253">
            <v>23.47</v>
          </cell>
          <cell r="AK253">
            <v>23.52</v>
          </cell>
          <cell r="AL253">
            <v>23.51</v>
          </cell>
          <cell r="BD253">
            <v>33.83</v>
          </cell>
          <cell r="BE253">
            <v>10.220000000000001</v>
          </cell>
          <cell r="BF253">
            <v>10.25</v>
          </cell>
          <cell r="BG253">
            <v>10.27</v>
          </cell>
          <cell r="BH253">
            <v>10.26</v>
          </cell>
          <cell r="BI253">
            <v>10.220000000000001</v>
          </cell>
          <cell r="BJ253">
            <v>10.27</v>
          </cell>
          <cell r="BK253">
            <v>10.3</v>
          </cell>
          <cell r="BL253">
            <v>10.25</v>
          </cell>
        </row>
        <row r="254">
          <cell r="A254" t="str">
            <v>SI1542_20241014</v>
          </cell>
          <cell r="C254">
            <v>45584</v>
          </cell>
          <cell r="D254" t="str">
            <v>아이오페 스템Ⅲ 클리니컬 리커버리 크림 50ML(25) 내캡 사출</v>
          </cell>
          <cell r="E254" t="str">
            <v>언더컷</v>
          </cell>
          <cell r="F254">
            <v>69.650000000000006</v>
          </cell>
          <cell r="G254">
            <v>69.62</v>
          </cell>
          <cell r="H254">
            <v>69.7</v>
          </cell>
          <cell r="I254">
            <v>69.680000000000007</v>
          </cell>
          <cell r="N254">
            <v>69.37</v>
          </cell>
          <cell r="O254">
            <v>69.349999999999994</v>
          </cell>
          <cell r="P254">
            <v>69.430000000000007</v>
          </cell>
          <cell r="Q254">
            <v>69.41</v>
          </cell>
          <cell r="V254" t="str">
            <v>나사경</v>
          </cell>
          <cell r="W254">
            <v>58.92</v>
          </cell>
          <cell r="X254">
            <v>58.91</v>
          </cell>
          <cell r="Y254">
            <v>58.92</v>
          </cell>
          <cell r="Z254">
            <v>58.92</v>
          </cell>
          <cell r="AE254">
            <v>58.54</v>
          </cell>
          <cell r="AF254">
            <v>58.53</v>
          </cell>
          <cell r="AG254">
            <v>58.54</v>
          </cell>
          <cell r="AH254">
            <v>58.54</v>
          </cell>
        </row>
        <row r="255">
          <cell r="A255" t="str">
            <v>SI1559_20241026</v>
          </cell>
          <cell r="C255">
            <v>45597</v>
          </cell>
          <cell r="D255" t="str">
            <v>라보에이치 모발강화 트리트먼트 300ml 60파이 원터치캡</v>
          </cell>
          <cell r="E255" t="str">
            <v>외경</v>
          </cell>
          <cell r="F255">
            <v>54.59</v>
          </cell>
          <cell r="G255">
            <v>54.61</v>
          </cell>
          <cell r="H255">
            <v>54.6</v>
          </cell>
          <cell r="I255">
            <v>54.61</v>
          </cell>
          <cell r="J255">
            <v>54.62</v>
          </cell>
          <cell r="K255">
            <v>54.6</v>
          </cell>
          <cell r="L255">
            <v>54.61</v>
          </cell>
          <cell r="M255">
            <v>54.59</v>
          </cell>
          <cell r="N255">
            <v>54.23</v>
          </cell>
          <cell r="O255">
            <v>54.32</v>
          </cell>
          <cell r="P255">
            <v>54.36</v>
          </cell>
          <cell r="Q255">
            <v>54.31</v>
          </cell>
          <cell r="R255">
            <v>54.16</v>
          </cell>
          <cell r="S255">
            <v>54.21</v>
          </cell>
          <cell r="T255">
            <v>54.31</v>
          </cell>
          <cell r="U255">
            <v>54.21</v>
          </cell>
          <cell r="BD255">
            <v>34.14</v>
          </cell>
          <cell r="BE255">
            <v>14.71</v>
          </cell>
          <cell r="BF255">
            <v>14.74</v>
          </cell>
          <cell r="BG255">
            <v>14.74</v>
          </cell>
          <cell r="BH255">
            <v>14.65</v>
          </cell>
          <cell r="BI255">
            <v>14.69</v>
          </cell>
          <cell r="BJ255">
            <v>14.7</v>
          </cell>
          <cell r="BK255">
            <v>14.68</v>
          </cell>
          <cell r="BL255">
            <v>14.62</v>
          </cell>
        </row>
        <row r="256">
          <cell r="A256" t="str">
            <v>SI1560_20241026</v>
          </cell>
          <cell r="C256">
            <v>45601</v>
          </cell>
          <cell r="D256" t="str">
            <v>라보에이치 모발강화 트리트먼트 300ml 60파이 장식</v>
          </cell>
          <cell r="E256" t="str">
            <v>외경</v>
          </cell>
          <cell r="F256">
            <v>53.4</v>
          </cell>
          <cell r="G256">
            <v>53.42</v>
          </cell>
          <cell r="H256">
            <v>53.41</v>
          </cell>
          <cell r="I256">
            <v>53.42</v>
          </cell>
          <cell r="J256">
            <v>53.41</v>
          </cell>
          <cell r="K256">
            <v>53.43</v>
          </cell>
          <cell r="L256">
            <v>53.38</v>
          </cell>
          <cell r="M256">
            <v>53.43</v>
          </cell>
          <cell r="N256">
            <v>53.2</v>
          </cell>
          <cell r="O256">
            <v>53.19</v>
          </cell>
          <cell r="P256">
            <v>53.19</v>
          </cell>
          <cell r="Q256">
            <v>53.14</v>
          </cell>
          <cell r="R256">
            <v>53.19</v>
          </cell>
          <cell r="S256">
            <v>53.2</v>
          </cell>
          <cell r="T256">
            <v>53.18</v>
          </cell>
          <cell r="U256">
            <v>53.15</v>
          </cell>
          <cell r="V256" t="str">
            <v>언더컷</v>
          </cell>
          <cell r="W256">
            <v>46.61</v>
          </cell>
          <cell r="X256">
            <v>46.6</v>
          </cell>
          <cell r="Y256">
            <v>46.59</v>
          </cell>
          <cell r="Z256">
            <v>46.62</v>
          </cell>
          <cell r="AA256">
            <v>46.6</v>
          </cell>
          <cell r="AB256">
            <v>46.61</v>
          </cell>
          <cell r="AC256">
            <v>46.62</v>
          </cell>
          <cell r="AD256">
            <v>46.64</v>
          </cell>
          <cell r="AE256">
            <v>46.37</v>
          </cell>
          <cell r="AF256">
            <v>46.4</v>
          </cell>
          <cell r="AG256">
            <v>46.37</v>
          </cell>
          <cell r="AH256">
            <v>46.38</v>
          </cell>
          <cell r="AI256">
            <v>46.39</v>
          </cell>
          <cell r="AJ256">
            <v>46.38</v>
          </cell>
          <cell r="AK256">
            <v>46.38</v>
          </cell>
          <cell r="AL256">
            <v>46.37</v>
          </cell>
          <cell r="BD256">
            <v>11.43</v>
          </cell>
          <cell r="BE256">
            <v>3.87</v>
          </cell>
          <cell r="BF256">
            <v>3.86</v>
          </cell>
          <cell r="BG256">
            <v>3.86</v>
          </cell>
          <cell r="BH256">
            <v>3.85</v>
          </cell>
          <cell r="BI256">
            <v>3.85</v>
          </cell>
          <cell r="BJ256">
            <v>3.87</v>
          </cell>
          <cell r="BK256">
            <v>3.85</v>
          </cell>
          <cell r="BL256">
            <v>3.85</v>
          </cell>
        </row>
        <row r="257">
          <cell r="A257" t="str">
            <v>SI1558_20241026</v>
          </cell>
          <cell r="C257">
            <v>45601</v>
          </cell>
          <cell r="D257" t="str">
            <v>라보에이치 모발강화 트리트먼트 200ml 50파이 장식</v>
          </cell>
          <cell r="E257" t="str">
            <v>외경</v>
          </cell>
          <cell r="F257">
            <v>44.3</v>
          </cell>
          <cell r="G257">
            <v>44.28</v>
          </cell>
          <cell r="H257">
            <v>44.3</v>
          </cell>
          <cell r="I257">
            <v>44.3</v>
          </cell>
          <cell r="J257">
            <v>44.29</v>
          </cell>
          <cell r="K257">
            <v>44.29</v>
          </cell>
          <cell r="L257">
            <v>44.29</v>
          </cell>
          <cell r="M257">
            <v>44.29</v>
          </cell>
          <cell r="N257">
            <v>44.11</v>
          </cell>
          <cell r="O257">
            <v>44.1</v>
          </cell>
          <cell r="P257">
            <v>44.14</v>
          </cell>
          <cell r="Q257">
            <v>44.12</v>
          </cell>
          <cell r="R257">
            <v>44.13</v>
          </cell>
          <cell r="S257">
            <v>44.11</v>
          </cell>
          <cell r="T257">
            <v>44.13</v>
          </cell>
          <cell r="U257">
            <v>44.12</v>
          </cell>
          <cell r="V257" t="str">
            <v>언더컷</v>
          </cell>
          <cell r="BE257">
            <v>2.69</v>
          </cell>
          <cell r="BF257">
            <v>2.73</v>
          </cell>
          <cell r="BG257">
            <v>2.73</v>
          </cell>
          <cell r="BH257">
            <v>2.69</v>
          </cell>
          <cell r="BI257">
            <v>2.7</v>
          </cell>
          <cell r="BJ257">
            <v>2.73</v>
          </cell>
          <cell r="BK257">
            <v>2.74</v>
          </cell>
          <cell r="BL257">
            <v>2.7</v>
          </cell>
        </row>
        <row r="258">
          <cell r="A258" t="str">
            <v>SI1553_20241101</v>
          </cell>
          <cell r="B258" t="str">
            <v>한창구</v>
          </cell>
          <cell r="C258">
            <v>45602</v>
          </cell>
          <cell r="D258" t="str">
            <v>설화수 진설클렌징폼 견본 40ml (25AD 내캡</v>
          </cell>
          <cell r="E258" t="str">
            <v>외경</v>
          </cell>
          <cell r="F258">
            <v>32.46</v>
          </cell>
          <cell r="G258">
            <v>32.44</v>
          </cell>
          <cell r="H258">
            <v>32.450000000000003</v>
          </cell>
          <cell r="I258">
            <v>32.43</v>
          </cell>
          <cell r="BD258">
            <v>15.39</v>
          </cell>
          <cell r="BE258">
            <v>3.3</v>
          </cell>
          <cell r="BF258">
            <v>3.29</v>
          </cell>
          <cell r="BG258">
            <v>3.28</v>
          </cell>
          <cell r="BH258">
            <v>3.27</v>
          </cell>
        </row>
        <row r="259">
          <cell r="A259" t="str">
            <v>SI1554_20241031</v>
          </cell>
          <cell r="B259" t="str">
            <v>한창구</v>
          </cell>
          <cell r="C259">
            <v>45602</v>
          </cell>
          <cell r="D259" t="str">
            <v>설화수 진설클렌징폼 견본 40ml (25AD 외캡</v>
          </cell>
          <cell r="E259" t="str">
            <v>외경</v>
          </cell>
          <cell r="F259">
            <v>34.47</v>
          </cell>
          <cell r="G259">
            <v>34.47</v>
          </cell>
          <cell r="H259">
            <v>34.47</v>
          </cell>
          <cell r="I259">
            <v>34.47</v>
          </cell>
          <cell r="BD259">
            <v>23.04</v>
          </cell>
          <cell r="BE259">
            <v>3.99</v>
          </cell>
          <cell r="BF259">
            <v>3.98</v>
          </cell>
          <cell r="BG259">
            <v>3.99</v>
          </cell>
          <cell r="BH259">
            <v>3.98</v>
          </cell>
        </row>
        <row r="260">
          <cell r="A260" t="str">
            <v>SI1519_20241108</v>
          </cell>
          <cell r="B260" t="str">
            <v>유재호</v>
          </cell>
          <cell r="C260">
            <v>45607</v>
          </cell>
          <cell r="D260" t="str">
            <v>아이오페 슈퍼바이탈 크림 50ML(24EC 내용기</v>
          </cell>
          <cell r="E260" t="str">
            <v>외경</v>
          </cell>
          <cell r="F260">
            <v>55.7</v>
          </cell>
          <cell r="G260">
            <v>55.7</v>
          </cell>
          <cell r="H260">
            <v>55.68</v>
          </cell>
          <cell r="I260">
            <v>55.7</v>
          </cell>
          <cell r="V260" t="str">
            <v>나사경</v>
          </cell>
          <cell r="W260">
            <v>51.95</v>
          </cell>
          <cell r="X260">
            <v>51.98</v>
          </cell>
          <cell r="Y260">
            <v>51.94</v>
          </cell>
          <cell r="Z260">
            <v>51.98</v>
          </cell>
          <cell r="BD260">
            <v>19.38</v>
          </cell>
          <cell r="BE260">
            <v>19.41</v>
          </cell>
          <cell r="BF260">
            <v>19.48</v>
          </cell>
        </row>
        <row r="261">
          <cell r="A261" t="str">
            <v>SI1537_20241109</v>
          </cell>
          <cell r="B261" t="str">
            <v>유재호</v>
          </cell>
          <cell r="C261">
            <v>45608</v>
          </cell>
          <cell r="D261" t="str">
            <v>설화수 진설클렌징폼 150ml (25AD 캡장식</v>
          </cell>
          <cell r="E261" t="str">
            <v>외경</v>
          </cell>
          <cell r="F261">
            <v>45.61</v>
          </cell>
          <cell r="G261">
            <v>45.6</v>
          </cell>
          <cell r="H261">
            <v>45.59</v>
          </cell>
          <cell r="I261">
            <v>45.61</v>
          </cell>
          <cell r="V261" t="str">
            <v>내경</v>
          </cell>
          <cell r="W261">
            <v>42.23</v>
          </cell>
          <cell r="X261">
            <v>42.24</v>
          </cell>
          <cell r="Y261">
            <v>42.23</v>
          </cell>
          <cell r="Z261">
            <v>42.23</v>
          </cell>
          <cell r="BD261">
            <v>15.35</v>
          </cell>
          <cell r="BE261">
            <v>2.64</v>
          </cell>
          <cell r="BF261">
            <v>2.65</v>
          </cell>
          <cell r="BG261">
            <v>2.64</v>
          </cell>
          <cell r="BH261">
            <v>2.64</v>
          </cell>
        </row>
        <row r="262">
          <cell r="A262" t="str">
            <v>SI1542_20241112</v>
          </cell>
          <cell r="B262" t="str">
            <v>유재호</v>
          </cell>
          <cell r="C262">
            <v>45609</v>
          </cell>
          <cell r="D262" t="str">
            <v>아이오페 스템Ⅲ 클리니컬 리커버리 크림 50ML(25) 내캡 사출</v>
          </cell>
          <cell r="E262" t="str">
            <v>내경</v>
          </cell>
          <cell r="F262">
            <v>60.9</v>
          </cell>
          <cell r="G262">
            <v>60.89</v>
          </cell>
          <cell r="H262">
            <v>60.88</v>
          </cell>
          <cell r="I262">
            <v>60.9</v>
          </cell>
          <cell r="N262">
            <v>60.6</v>
          </cell>
          <cell r="O262">
            <v>60.6</v>
          </cell>
          <cell r="P262">
            <v>60.66</v>
          </cell>
          <cell r="Q262">
            <v>60.69</v>
          </cell>
          <cell r="W262">
            <v>58.9</v>
          </cell>
          <cell r="X262">
            <v>58.89</v>
          </cell>
          <cell r="Y262">
            <v>58.91</v>
          </cell>
          <cell r="Z262">
            <v>58.9</v>
          </cell>
          <cell r="AE262">
            <v>58.62</v>
          </cell>
          <cell r="AF262">
            <v>58.6</v>
          </cell>
          <cell r="AG262">
            <v>58.62</v>
          </cell>
          <cell r="AH262">
            <v>58.66</v>
          </cell>
          <cell r="AM262" t="str">
            <v>외경</v>
          </cell>
          <cell r="AN262">
            <v>75.209999999999994</v>
          </cell>
          <cell r="AO262">
            <v>75.22</v>
          </cell>
          <cell r="AP262">
            <v>75.180000000000007</v>
          </cell>
          <cell r="AQ262">
            <v>75.180000000000007</v>
          </cell>
          <cell r="AV262">
            <v>75.180000000000007</v>
          </cell>
          <cell r="AW262">
            <v>75.13</v>
          </cell>
          <cell r="AX262">
            <v>75.069999999999993</v>
          </cell>
          <cell r="AY262">
            <v>75.12</v>
          </cell>
          <cell r="BD262">
            <v>19.920000000000002</v>
          </cell>
          <cell r="BE262">
            <v>16.88</v>
          </cell>
          <cell r="BF262">
            <v>16.96</v>
          </cell>
          <cell r="BG262">
            <v>16.940000000000001</v>
          </cell>
          <cell r="BH262">
            <v>16.940000000000001</v>
          </cell>
        </row>
        <row r="263">
          <cell r="A263" t="str">
            <v>SI1540_20241112</v>
          </cell>
          <cell r="C263">
            <v>45609</v>
          </cell>
          <cell r="D263" t="str">
            <v>아이오페 스템Ⅲ 클리니컬 리커버리 크림 50ML(25) 캡장식 사출</v>
          </cell>
          <cell r="E263" t="str">
            <v>외경</v>
          </cell>
          <cell r="F263">
            <v>74.459999999999994</v>
          </cell>
          <cell r="G263">
            <v>74.5</v>
          </cell>
          <cell r="H263">
            <v>74.510000000000005</v>
          </cell>
          <cell r="I263">
            <v>75.52</v>
          </cell>
          <cell r="N263">
            <v>74.41</v>
          </cell>
          <cell r="O263">
            <v>74.47</v>
          </cell>
          <cell r="P263">
            <v>74.48</v>
          </cell>
          <cell r="Q263">
            <v>74.47</v>
          </cell>
          <cell r="W263">
            <v>47.05</v>
          </cell>
          <cell r="X263">
            <v>47.04</v>
          </cell>
          <cell r="Y263">
            <v>47.02</v>
          </cell>
          <cell r="Z263">
            <v>47.06</v>
          </cell>
          <cell r="AE263">
            <v>47.01</v>
          </cell>
          <cell r="AF263">
            <v>47.02</v>
          </cell>
          <cell r="AG263">
            <v>47</v>
          </cell>
          <cell r="AH263">
            <v>47.03</v>
          </cell>
          <cell r="BD263">
            <v>26.98</v>
          </cell>
          <cell r="BE263">
            <v>10.48</v>
          </cell>
          <cell r="BF263">
            <v>10.92</v>
          </cell>
          <cell r="BG263">
            <v>11.09</v>
          </cell>
          <cell r="BH263">
            <v>10.98</v>
          </cell>
        </row>
        <row r="264">
          <cell r="A264" t="str">
            <v>SI1554_20241112</v>
          </cell>
          <cell r="B264" t="str">
            <v>유재호</v>
          </cell>
          <cell r="C264">
            <v>45615</v>
          </cell>
          <cell r="D264" t="str">
            <v>설화수 진설클렌징폼 견본 40ml (25AD 외캡</v>
          </cell>
          <cell r="E264" t="str">
            <v>외경</v>
          </cell>
          <cell r="F264">
            <v>34.56</v>
          </cell>
          <cell r="G264">
            <v>34.549999999999997</v>
          </cell>
          <cell r="H264">
            <v>34.54</v>
          </cell>
          <cell r="I264">
            <v>34.549999999999997</v>
          </cell>
          <cell r="N264">
            <v>34.43</v>
          </cell>
          <cell r="O264">
            <v>34.479999999999997</v>
          </cell>
          <cell r="P264">
            <v>34.47</v>
          </cell>
          <cell r="Q264">
            <v>34.46</v>
          </cell>
          <cell r="V264" t="str">
            <v>언더컷</v>
          </cell>
          <cell r="W264">
            <v>31.45</v>
          </cell>
          <cell r="X264">
            <v>31.44</v>
          </cell>
          <cell r="Y264">
            <v>31.47</v>
          </cell>
          <cell r="Z264">
            <v>31.46</v>
          </cell>
          <cell r="AE264">
            <v>31.37</v>
          </cell>
          <cell r="AF264">
            <v>31.35</v>
          </cell>
          <cell r="AG264">
            <v>31.41</v>
          </cell>
          <cell r="AH264">
            <v>31.39</v>
          </cell>
          <cell r="BD264">
            <v>22.55</v>
          </cell>
          <cell r="BE264">
            <v>4.04</v>
          </cell>
          <cell r="BF264">
            <v>4.0199999999999996</v>
          </cell>
          <cell r="BG264">
            <v>4.0199999999999996</v>
          </cell>
          <cell r="BH264">
            <v>4.03</v>
          </cell>
        </row>
        <row r="265">
          <cell r="A265" t="str">
            <v>SI1553_20241112</v>
          </cell>
          <cell r="B265" t="str">
            <v>유재호</v>
          </cell>
          <cell r="C265">
            <v>45615</v>
          </cell>
          <cell r="D265" t="str">
            <v>설화수 진설클렌징폼 견본 40ml (25AD 내캡</v>
          </cell>
          <cell r="E265" t="str">
            <v>외경</v>
          </cell>
          <cell r="F265">
            <v>32.450000000000003</v>
          </cell>
          <cell r="G265">
            <v>32.43</v>
          </cell>
          <cell r="H265">
            <v>32.44</v>
          </cell>
          <cell r="I265">
            <v>32.43</v>
          </cell>
          <cell r="N265">
            <v>32.28</v>
          </cell>
          <cell r="O265">
            <v>32.29</v>
          </cell>
          <cell r="P265">
            <v>32.28</v>
          </cell>
          <cell r="Q265">
            <v>32.31</v>
          </cell>
          <cell r="BD265">
            <v>15.14</v>
          </cell>
          <cell r="BE265">
            <v>3.34</v>
          </cell>
          <cell r="BF265">
            <v>3.33</v>
          </cell>
          <cell r="BG265">
            <v>3.34</v>
          </cell>
          <cell r="BH265">
            <v>3.32</v>
          </cell>
        </row>
        <row r="266">
          <cell r="A266" t="str">
            <v>SI1539_20241108</v>
          </cell>
          <cell r="B266" t="str">
            <v>유재호</v>
          </cell>
          <cell r="C266">
            <v>45616</v>
          </cell>
          <cell r="D266" t="str">
            <v>설화수 진설클렌징폼 150ml (25AD 내캡</v>
          </cell>
          <cell r="E266" t="str">
            <v>외경</v>
          </cell>
          <cell r="F266">
            <v>45.97</v>
          </cell>
          <cell r="G266">
            <v>45.98</v>
          </cell>
          <cell r="H266">
            <v>45.96</v>
          </cell>
          <cell r="I266">
            <v>45.98</v>
          </cell>
          <cell r="N266">
            <v>45.8</v>
          </cell>
          <cell r="O266">
            <v>45.75</v>
          </cell>
          <cell r="P266">
            <v>45.83</v>
          </cell>
          <cell r="Q266">
            <v>45.8</v>
          </cell>
          <cell r="V266" t="str">
            <v>나사경</v>
          </cell>
          <cell r="W266">
            <v>17.850000000000001</v>
          </cell>
          <cell r="X266">
            <v>17.86</v>
          </cell>
          <cell r="Y266">
            <v>17.87</v>
          </cell>
          <cell r="Z266">
            <v>17.86</v>
          </cell>
          <cell r="AE266">
            <v>17.73</v>
          </cell>
          <cell r="AF266">
            <v>17.73</v>
          </cell>
          <cell r="AG266">
            <v>17.739999999999998</v>
          </cell>
          <cell r="AH266">
            <v>17.73</v>
          </cell>
          <cell r="BD266">
            <v>15.17</v>
          </cell>
          <cell r="BE266">
            <v>7.01</v>
          </cell>
          <cell r="BF266">
            <v>7.02</v>
          </cell>
          <cell r="BG266">
            <v>7.01</v>
          </cell>
          <cell r="BH266">
            <v>7.02</v>
          </cell>
        </row>
        <row r="267">
          <cell r="A267" t="str">
            <v>SI1544_20241118</v>
          </cell>
          <cell r="B267" t="str">
            <v>유재호</v>
          </cell>
          <cell r="C267">
            <v>45616</v>
          </cell>
          <cell r="D267" t="str">
            <v>설화수 진설클렌징폼 견본 15ml (25AD 외캡</v>
          </cell>
          <cell r="E267" t="str">
            <v>외경</v>
          </cell>
          <cell r="F267">
            <v>24.78</v>
          </cell>
          <cell r="G267">
            <v>24.77</v>
          </cell>
          <cell r="H267">
            <v>24.76</v>
          </cell>
          <cell r="I267">
            <v>24.77</v>
          </cell>
          <cell r="N267">
            <v>24.64</v>
          </cell>
          <cell r="O267">
            <v>24.64</v>
          </cell>
          <cell r="P267">
            <v>24.67</v>
          </cell>
          <cell r="Q267">
            <v>24.65</v>
          </cell>
          <cell r="V267" t="str">
            <v>내경</v>
          </cell>
          <cell r="W267">
            <v>21.72</v>
          </cell>
          <cell r="X267">
            <v>21.77</v>
          </cell>
          <cell r="Y267">
            <v>21.75</v>
          </cell>
          <cell r="Z267">
            <v>21.76</v>
          </cell>
          <cell r="AE267">
            <v>21.63</v>
          </cell>
          <cell r="AF267">
            <v>21.61</v>
          </cell>
          <cell r="AG267">
            <v>21.6</v>
          </cell>
          <cell r="AH267">
            <v>21.67</v>
          </cell>
          <cell r="BD267">
            <v>18.559999999999999</v>
          </cell>
          <cell r="BE267">
            <v>1.88</v>
          </cell>
          <cell r="BF267">
            <v>1.88</v>
          </cell>
          <cell r="BG267">
            <v>1.88</v>
          </cell>
          <cell r="BH267">
            <v>1.88</v>
          </cell>
        </row>
        <row r="268">
          <cell r="A268" t="str">
            <v>SI1545_20241118</v>
          </cell>
          <cell r="B268" t="str">
            <v>유재호</v>
          </cell>
          <cell r="C268">
            <v>45616</v>
          </cell>
          <cell r="D268" t="str">
            <v>설화수 진설클렌징폼 견본 15ml (25AD 내캡</v>
          </cell>
          <cell r="E268" t="str">
            <v>언더컷</v>
          </cell>
          <cell r="F268">
            <v>22.59</v>
          </cell>
          <cell r="G268">
            <v>22.6</v>
          </cell>
          <cell r="H268">
            <v>22.59</v>
          </cell>
          <cell r="I268">
            <v>22.6</v>
          </cell>
          <cell r="N268">
            <v>21.83</v>
          </cell>
          <cell r="O268">
            <v>21.91</v>
          </cell>
          <cell r="P268">
            <v>21.88</v>
          </cell>
          <cell r="Q268">
            <v>21.87</v>
          </cell>
          <cell r="V268" t="str">
            <v>나사경</v>
          </cell>
          <cell r="W268">
            <v>11.1</v>
          </cell>
          <cell r="X268">
            <v>11.09</v>
          </cell>
          <cell r="Y268">
            <v>11.08</v>
          </cell>
          <cell r="Z268">
            <v>11.1</v>
          </cell>
          <cell r="AE268">
            <v>11.02</v>
          </cell>
          <cell r="AF268">
            <v>11.03</v>
          </cell>
          <cell r="AG268">
            <v>10.98</v>
          </cell>
          <cell r="AH268">
            <v>11</v>
          </cell>
          <cell r="BD268">
            <v>13.97</v>
          </cell>
          <cell r="BE268">
            <v>2.0099999999999998</v>
          </cell>
          <cell r="BF268">
            <v>2.02</v>
          </cell>
          <cell r="BG268">
            <v>2.02</v>
          </cell>
          <cell r="BH268">
            <v>2.0099999999999998</v>
          </cell>
        </row>
        <row r="269">
          <cell r="A269" t="str">
            <v>SI1557_20241115</v>
          </cell>
          <cell r="B269" t="str">
            <v>유재호</v>
          </cell>
          <cell r="C269">
            <v>45618</v>
          </cell>
          <cell r="D269" t="str">
            <v>라보에이치 모발강화 트리트먼트 200ml 50파이 원터치캡</v>
          </cell>
          <cell r="E269" t="str">
            <v>언더컷</v>
          </cell>
          <cell r="F269">
            <v>35.799999999999997</v>
          </cell>
          <cell r="G269">
            <v>35.81</v>
          </cell>
          <cell r="H269">
            <v>35.81</v>
          </cell>
          <cell r="I269">
            <v>35.82</v>
          </cell>
          <cell r="J269">
            <v>35.82</v>
          </cell>
          <cell r="K269">
            <v>35.82</v>
          </cell>
          <cell r="L269">
            <v>35.83</v>
          </cell>
          <cell r="M269">
            <v>35.83</v>
          </cell>
          <cell r="N269">
            <v>35.69</v>
          </cell>
          <cell r="O269">
            <v>35.64</v>
          </cell>
          <cell r="P269">
            <v>35.630000000000003</v>
          </cell>
          <cell r="Q269">
            <v>35.659999999999997</v>
          </cell>
          <cell r="R269">
            <v>35.659999999999997</v>
          </cell>
          <cell r="S269">
            <v>35.65</v>
          </cell>
          <cell r="T269">
            <v>35.67</v>
          </cell>
          <cell r="U269">
            <v>35.659999999999997</v>
          </cell>
          <cell r="V269" t="str">
            <v>나사경</v>
          </cell>
          <cell r="W269">
            <v>23.7</v>
          </cell>
          <cell r="X269">
            <v>23.7</v>
          </cell>
          <cell r="Y269">
            <v>23.69</v>
          </cell>
          <cell r="Z269">
            <v>23.69</v>
          </cell>
          <cell r="AA269">
            <v>23.69</v>
          </cell>
          <cell r="AB269">
            <v>23.68</v>
          </cell>
          <cell r="AC269">
            <v>23.68</v>
          </cell>
          <cell r="AD269">
            <v>23.7</v>
          </cell>
          <cell r="AE269">
            <v>23.52</v>
          </cell>
          <cell r="AF269">
            <v>23.5</v>
          </cell>
          <cell r="AG269">
            <v>23.5</v>
          </cell>
          <cell r="AH269">
            <v>23.48</v>
          </cell>
          <cell r="AI269">
            <v>23.49</v>
          </cell>
          <cell r="AJ269">
            <v>23.5</v>
          </cell>
          <cell r="AK269">
            <v>23.48</v>
          </cell>
          <cell r="AL269">
            <v>23.52</v>
          </cell>
          <cell r="BD269">
            <v>33.700000000000003</v>
          </cell>
          <cell r="BE269">
            <v>10.32</v>
          </cell>
          <cell r="BF269">
            <v>10.32</v>
          </cell>
          <cell r="BG269">
            <v>10.34</v>
          </cell>
          <cell r="BH269">
            <v>10.35</v>
          </cell>
          <cell r="BI269">
            <v>10.31</v>
          </cell>
          <cell r="BJ269">
            <v>10.33</v>
          </cell>
          <cell r="BK269">
            <v>10.38</v>
          </cell>
          <cell r="BL269">
            <v>10.36</v>
          </cell>
        </row>
        <row r="270">
          <cell r="A270" t="str">
            <v>SI1559_20241115</v>
          </cell>
          <cell r="B270" t="str">
            <v>유재호</v>
          </cell>
          <cell r="C270">
            <v>45618</v>
          </cell>
          <cell r="D270" t="str">
            <v>라보에이치 모발강화 트리트먼트 300ml 60파이 원터치캡</v>
          </cell>
          <cell r="E270" t="str">
            <v>언더컷</v>
          </cell>
          <cell r="F270">
            <v>44.42</v>
          </cell>
          <cell r="G270">
            <v>44.41</v>
          </cell>
          <cell r="H270">
            <v>44.39</v>
          </cell>
          <cell r="I270">
            <v>44.4</v>
          </cell>
          <cell r="J270">
            <v>44.4</v>
          </cell>
          <cell r="K270">
            <v>44.4</v>
          </cell>
          <cell r="L270">
            <v>44.39</v>
          </cell>
          <cell r="M270">
            <v>44.39</v>
          </cell>
          <cell r="N270">
            <v>44.23</v>
          </cell>
          <cell r="O270">
            <v>44.2</v>
          </cell>
          <cell r="P270">
            <v>44.17</v>
          </cell>
          <cell r="Q270">
            <v>44.2</v>
          </cell>
          <cell r="R270">
            <v>44.19</v>
          </cell>
          <cell r="S270">
            <v>44.19</v>
          </cell>
          <cell r="T270">
            <v>44.18</v>
          </cell>
          <cell r="U270">
            <v>44.19</v>
          </cell>
          <cell r="V270" t="str">
            <v>나사경</v>
          </cell>
          <cell r="W270">
            <v>23.7</v>
          </cell>
          <cell r="X270">
            <v>23.7</v>
          </cell>
          <cell r="Y270">
            <v>23.69</v>
          </cell>
          <cell r="Z270">
            <v>23.72</v>
          </cell>
          <cell r="AA270">
            <v>23.73</v>
          </cell>
          <cell r="AB270">
            <v>23.71</v>
          </cell>
          <cell r="AC270">
            <v>23.72</v>
          </cell>
          <cell r="AD270">
            <v>23.72</v>
          </cell>
          <cell r="AE270">
            <v>23.5</v>
          </cell>
          <cell r="AF270">
            <v>23.49</v>
          </cell>
          <cell r="AG270">
            <v>23.53</v>
          </cell>
          <cell r="AH270">
            <v>23.55</v>
          </cell>
          <cell r="AI270">
            <v>23.53</v>
          </cell>
          <cell r="AJ270">
            <v>23.51</v>
          </cell>
          <cell r="AK270">
            <v>23.52</v>
          </cell>
          <cell r="AL270">
            <v>23.51</v>
          </cell>
        </row>
        <row r="271">
          <cell r="A271" t="str">
            <v>SI1519_20241122</v>
          </cell>
          <cell r="B271" t="str">
            <v>장세래</v>
          </cell>
          <cell r="C271">
            <v>45621</v>
          </cell>
          <cell r="D271" t="str">
            <v>아이오페 슈퍼바이탈 크림 50ML(24EC 내용기</v>
          </cell>
          <cell r="E271" t="str">
            <v>나사외경</v>
          </cell>
          <cell r="F271">
            <v>52.02</v>
          </cell>
          <cell r="G271">
            <v>51.97</v>
          </cell>
          <cell r="H271">
            <v>51.92</v>
          </cell>
          <cell r="I271">
            <v>51.94</v>
          </cell>
          <cell r="N271">
            <v>51.73</v>
          </cell>
          <cell r="O271">
            <v>51.67</v>
          </cell>
          <cell r="P271">
            <v>51.6</v>
          </cell>
          <cell r="Q271">
            <v>51.72</v>
          </cell>
          <cell r="V271" t="str">
            <v>나사내경</v>
          </cell>
          <cell r="W271">
            <v>49.53</v>
          </cell>
          <cell r="X271">
            <v>49.54</v>
          </cell>
          <cell r="Y271">
            <v>49.63</v>
          </cell>
          <cell r="Z271">
            <v>49.54</v>
          </cell>
          <cell r="AE271">
            <v>49.23</v>
          </cell>
          <cell r="AF271">
            <v>49.22</v>
          </cell>
          <cell r="AG271">
            <v>49.23</v>
          </cell>
          <cell r="AH271">
            <v>49.25</v>
          </cell>
          <cell r="BE271">
            <v>19.64</v>
          </cell>
          <cell r="BF271">
            <v>19.75</v>
          </cell>
          <cell r="BG271">
            <v>19.690000000000001</v>
          </cell>
          <cell r="BH271">
            <v>19.66</v>
          </cell>
        </row>
        <row r="272">
          <cell r="A272" t="str">
            <v>SI1554_20241120</v>
          </cell>
          <cell r="B272" t="str">
            <v>한창구</v>
          </cell>
          <cell r="C272">
            <v>45622</v>
          </cell>
          <cell r="D272" t="str">
            <v>설화수 진설클렌징폼 견본 40ml (25AD 외캡</v>
          </cell>
          <cell r="E272" t="str">
            <v>외경</v>
          </cell>
          <cell r="F272">
            <v>34.5</v>
          </cell>
          <cell r="G272">
            <v>34.53</v>
          </cell>
          <cell r="H272">
            <v>34.51</v>
          </cell>
          <cell r="I272">
            <v>34.53</v>
          </cell>
          <cell r="N272">
            <v>34.43</v>
          </cell>
          <cell r="O272">
            <v>34.479999999999997</v>
          </cell>
          <cell r="P272">
            <v>34.47</v>
          </cell>
          <cell r="Q272">
            <v>34.46</v>
          </cell>
          <cell r="V272" t="str">
            <v>언더컷</v>
          </cell>
          <cell r="W272">
            <v>31.41</v>
          </cell>
          <cell r="X272">
            <v>31.41</v>
          </cell>
          <cell r="Y272">
            <v>31.43</v>
          </cell>
          <cell r="Z272">
            <v>31.42</v>
          </cell>
          <cell r="AE272">
            <v>31.35</v>
          </cell>
          <cell r="AF272">
            <v>31.35</v>
          </cell>
          <cell r="AG272">
            <v>31.36</v>
          </cell>
          <cell r="AH272">
            <v>31.37</v>
          </cell>
          <cell r="BD272">
            <v>18.649999999999999</v>
          </cell>
          <cell r="BE272">
            <v>3.96</v>
          </cell>
          <cell r="BF272">
            <v>3.98</v>
          </cell>
          <cell r="BG272">
            <v>3.97</v>
          </cell>
          <cell r="BH272">
            <v>3.98</v>
          </cell>
        </row>
        <row r="273">
          <cell r="A273" t="str">
            <v>SI1558_20241115</v>
          </cell>
          <cell r="B273" t="str">
            <v>장세래</v>
          </cell>
          <cell r="C273">
            <v>45624</v>
          </cell>
          <cell r="D273" t="str">
            <v>라보에이치 모발강화 트리트먼트 200ml 50파이 장식</v>
          </cell>
          <cell r="E273" t="str">
            <v>외경</v>
          </cell>
          <cell r="F273">
            <v>44.29</v>
          </cell>
          <cell r="G273">
            <v>44.28</v>
          </cell>
          <cell r="H273">
            <v>44.31</v>
          </cell>
          <cell r="I273">
            <v>44.27</v>
          </cell>
          <cell r="J273">
            <v>44.3</v>
          </cell>
          <cell r="K273">
            <v>44.28</v>
          </cell>
          <cell r="L273">
            <v>44.31</v>
          </cell>
          <cell r="M273">
            <v>44.27</v>
          </cell>
          <cell r="W273">
            <v>43.77</v>
          </cell>
          <cell r="X273">
            <v>43.77</v>
          </cell>
          <cell r="Y273">
            <v>43.76</v>
          </cell>
          <cell r="Z273">
            <v>43.71</v>
          </cell>
          <cell r="AA273">
            <v>43.76</v>
          </cell>
          <cell r="AB273">
            <v>43.74</v>
          </cell>
          <cell r="AC273">
            <v>43.77</v>
          </cell>
          <cell r="AD273">
            <v>43.74</v>
          </cell>
          <cell r="BD273">
            <v>10.63</v>
          </cell>
          <cell r="BE273">
            <v>2.21</v>
          </cell>
          <cell r="BF273">
            <v>2.2200000000000002</v>
          </cell>
          <cell r="BG273">
            <v>2.2599999999999998</v>
          </cell>
          <cell r="BH273">
            <v>2.2200000000000002</v>
          </cell>
          <cell r="BI273">
            <v>2.21</v>
          </cell>
          <cell r="BJ273">
            <v>2.2400000000000002</v>
          </cell>
          <cell r="BK273">
            <v>2.2400000000000002</v>
          </cell>
          <cell r="BL273">
            <v>2.23</v>
          </cell>
        </row>
        <row r="274">
          <cell r="A274" t="str">
            <v>SI1537_20241120</v>
          </cell>
          <cell r="C274">
            <v>45630</v>
          </cell>
          <cell r="D274" t="str">
            <v>설화수 진설클렌징폼 150ml (25AD 캡장식</v>
          </cell>
          <cell r="E274" t="str">
            <v>외경</v>
          </cell>
          <cell r="F274">
            <v>45.52</v>
          </cell>
          <cell r="G274">
            <v>45.54</v>
          </cell>
          <cell r="H274">
            <v>45.52</v>
          </cell>
          <cell r="I274">
            <v>45.5</v>
          </cell>
          <cell r="BD274">
            <v>15.35</v>
          </cell>
          <cell r="BE274">
            <v>2.62</v>
          </cell>
          <cell r="BF274">
            <v>2.62</v>
          </cell>
          <cell r="BG274">
            <v>2.62</v>
          </cell>
          <cell r="BH274">
            <v>2.62</v>
          </cell>
        </row>
        <row r="275">
          <cell r="A275" t="str">
            <v>SI1538_20241120</v>
          </cell>
          <cell r="C275">
            <v>45630</v>
          </cell>
          <cell r="D275" t="str">
            <v>설화수 진설클렌징폼 150ml (25AD 외캡</v>
          </cell>
          <cell r="E275" t="str">
            <v>외경</v>
          </cell>
          <cell r="F275">
            <v>48.78</v>
          </cell>
          <cell r="G275">
            <v>48.79</v>
          </cell>
          <cell r="H275">
            <v>48.79</v>
          </cell>
          <cell r="I275">
            <v>48.77</v>
          </cell>
          <cell r="N275">
            <v>48.71</v>
          </cell>
          <cell r="O275">
            <v>48.71</v>
          </cell>
          <cell r="P275">
            <v>48.71</v>
          </cell>
          <cell r="Q275">
            <v>48.7</v>
          </cell>
          <cell r="BD275">
            <v>35.380000000000003</v>
          </cell>
          <cell r="BE275">
            <v>9.76</v>
          </cell>
          <cell r="BF275">
            <v>9.77</v>
          </cell>
          <cell r="BG275">
            <v>9.77</v>
          </cell>
          <cell r="BH275">
            <v>9.75</v>
          </cell>
        </row>
        <row r="276">
          <cell r="A276" t="str">
            <v>SI1539_20241120</v>
          </cell>
          <cell r="C276">
            <v>45630</v>
          </cell>
          <cell r="D276" t="str">
            <v>설화수 진설클렌징폼 150ml (25AD 내캡</v>
          </cell>
          <cell r="F276">
            <v>45.96</v>
          </cell>
          <cell r="G276">
            <v>45.98</v>
          </cell>
          <cell r="H276">
            <v>45.96</v>
          </cell>
          <cell r="I276">
            <v>45.96</v>
          </cell>
          <cell r="N276">
            <v>45.71</v>
          </cell>
          <cell r="O276">
            <v>45.72</v>
          </cell>
          <cell r="P276">
            <v>45.72</v>
          </cell>
          <cell r="Q276">
            <v>45.72</v>
          </cell>
          <cell r="BD276">
            <v>15.26</v>
          </cell>
          <cell r="BE276">
            <v>7.05</v>
          </cell>
          <cell r="BF276">
            <v>7.05</v>
          </cell>
          <cell r="BG276">
            <v>7.06</v>
          </cell>
          <cell r="BH276">
            <v>7.05</v>
          </cell>
        </row>
        <row r="277">
          <cell r="A277" t="str">
            <v>SI1541_20241205</v>
          </cell>
          <cell r="B277" t="str">
            <v>장세래</v>
          </cell>
          <cell r="C277">
            <v>45635</v>
          </cell>
          <cell r="D277" t="str">
            <v>아이오페 스템Ⅲ 클리니컬 리커버리 크림 50ML(25) 외캡 사출</v>
          </cell>
          <cell r="E277" t="str">
            <v>내경</v>
          </cell>
          <cell r="F277">
            <v>72.25</v>
          </cell>
          <cell r="G277">
            <v>72.290000000000006</v>
          </cell>
          <cell r="H277">
            <v>72.31</v>
          </cell>
          <cell r="I277">
            <v>72.3</v>
          </cell>
          <cell r="N277">
            <v>72.22</v>
          </cell>
          <cell r="O277">
            <v>72.23</v>
          </cell>
          <cell r="P277">
            <v>72.239999999999995</v>
          </cell>
          <cell r="Q277">
            <v>72.260000000000005</v>
          </cell>
          <cell r="V277" t="str">
            <v>외경</v>
          </cell>
          <cell r="AE277">
            <v>74.94</v>
          </cell>
          <cell r="AF277">
            <v>74.900000000000006</v>
          </cell>
          <cell r="AG277">
            <v>74.95</v>
          </cell>
          <cell r="AH277">
            <v>74.95</v>
          </cell>
          <cell r="AV277">
            <v>62.17</v>
          </cell>
          <cell r="AW277">
            <v>62.18</v>
          </cell>
          <cell r="AX277">
            <v>62.16</v>
          </cell>
          <cell r="AY277">
            <v>62.16</v>
          </cell>
          <cell r="BE277">
            <v>17.940000000000001</v>
          </cell>
          <cell r="BF277">
            <v>18.010000000000002</v>
          </cell>
          <cell r="BG277">
            <v>17.97</v>
          </cell>
          <cell r="BH277">
            <v>18</v>
          </cell>
        </row>
        <row r="278">
          <cell r="A278" t="str">
            <v>SI1540_20241205</v>
          </cell>
          <cell r="B278" t="str">
            <v>장세래</v>
          </cell>
          <cell r="C278">
            <v>45635</v>
          </cell>
          <cell r="D278" t="str">
            <v>아이오페 스템Ⅲ 클리니컬 리커버리 크림 50ML(25) 캡장식 사출</v>
          </cell>
          <cell r="F278">
            <v>74.22</v>
          </cell>
          <cell r="G278">
            <v>74.239999999999995</v>
          </cell>
          <cell r="H278">
            <v>74.25</v>
          </cell>
          <cell r="I278">
            <v>74.28</v>
          </cell>
          <cell r="W278">
            <v>46.8</v>
          </cell>
          <cell r="X278">
            <v>46.82</v>
          </cell>
          <cell r="Y278">
            <v>46.8</v>
          </cell>
          <cell r="Z278">
            <v>46.83</v>
          </cell>
        </row>
        <row r="279">
          <cell r="A279" t="str">
            <v>SI1542_20241205</v>
          </cell>
          <cell r="B279" t="str">
            <v>유재호</v>
          </cell>
          <cell r="C279">
            <v>45637</v>
          </cell>
          <cell r="D279" t="str">
            <v>아이오페 스템Ⅲ 클리니컬 리커버리 크림 50ML(25) 내캡 사출</v>
          </cell>
          <cell r="F279">
            <v>71.819999999999993</v>
          </cell>
          <cell r="G279">
            <v>71.83</v>
          </cell>
          <cell r="H279">
            <v>71.83</v>
          </cell>
          <cell r="I279">
            <v>71.81</v>
          </cell>
          <cell r="N279">
            <v>71.430000000000007</v>
          </cell>
          <cell r="O279">
            <v>71.400000000000006</v>
          </cell>
          <cell r="P279">
            <v>71.41</v>
          </cell>
          <cell r="Q279">
            <v>71.39</v>
          </cell>
          <cell r="V279" t="str">
            <v>나사경</v>
          </cell>
          <cell r="W279">
            <v>58.96</v>
          </cell>
          <cell r="X279">
            <v>58.98</v>
          </cell>
          <cell r="Y279">
            <v>58.97</v>
          </cell>
          <cell r="Z279">
            <v>58.97</v>
          </cell>
          <cell r="AE279">
            <v>58.53</v>
          </cell>
          <cell r="AF279">
            <v>58.53</v>
          </cell>
          <cell r="AG279">
            <v>58.56</v>
          </cell>
          <cell r="AH279">
            <v>58.56</v>
          </cell>
          <cell r="BD279">
            <v>18.96</v>
          </cell>
          <cell r="BF279">
            <v>17.079999999999998</v>
          </cell>
          <cell r="BG279">
            <v>17.11</v>
          </cell>
          <cell r="BH279">
            <v>17.07</v>
          </cell>
        </row>
        <row r="280">
          <cell r="A280" t="str">
            <v>SI1540_20241211</v>
          </cell>
          <cell r="B280" t="str">
            <v>장세래</v>
          </cell>
          <cell r="C280">
            <v>45637</v>
          </cell>
          <cell r="D280" t="str">
            <v>아이오페 스템Ⅲ 클리니컬 리커버리 크림 50ML(25) 캡장식 사출</v>
          </cell>
          <cell r="E280" t="str">
            <v>외경</v>
          </cell>
          <cell r="F280">
            <v>74.180000000000007</v>
          </cell>
          <cell r="G280">
            <v>74.2</v>
          </cell>
          <cell r="H280">
            <v>74.209999999999994</v>
          </cell>
          <cell r="I280">
            <v>74.17</v>
          </cell>
          <cell r="N280">
            <v>74.150000000000006</v>
          </cell>
          <cell r="O280">
            <v>74.17</v>
          </cell>
          <cell r="P280">
            <v>74.180000000000007</v>
          </cell>
          <cell r="Q280">
            <v>74.16</v>
          </cell>
          <cell r="V280" t="str">
            <v>언더컷</v>
          </cell>
          <cell r="AE280">
            <v>46.96</v>
          </cell>
          <cell r="AF280">
            <v>49.92</v>
          </cell>
          <cell r="AG280">
            <v>46.94</v>
          </cell>
          <cell r="AH280">
            <v>46.96</v>
          </cell>
          <cell r="BE280">
            <v>10.37</v>
          </cell>
          <cell r="BF280">
            <v>10.5</v>
          </cell>
          <cell r="BG280">
            <v>10.51</v>
          </cell>
          <cell r="BH280">
            <v>10.41</v>
          </cell>
        </row>
        <row r="281">
          <cell r="A281" t="str">
            <v>SI1540_20241216</v>
          </cell>
          <cell r="B281" t="str">
            <v>장세래</v>
          </cell>
          <cell r="C281">
            <v>45642</v>
          </cell>
          <cell r="D281" t="str">
            <v>아이오페 스템Ⅲ 클리니컬 리커버리 크림 50ML(25) 캡장식 사출</v>
          </cell>
          <cell r="E281" t="str">
            <v>외경</v>
          </cell>
          <cell r="F281">
            <v>74.209999999999994</v>
          </cell>
          <cell r="G281">
            <v>74.239999999999995</v>
          </cell>
          <cell r="H281">
            <v>74.239999999999995</v>
          </cell>
          <cell r="I281">
            <v>74.23</v>
          </cell>
          <cell r="N281">
            <v>74.180000000000007</v>
          </cell>
          <cell r="O281">
            <v>74.22</v>
          </cell>
          <cell r="P281">
            <v>74.22</v>
          </cell>
          <cell r="Q281">
            <v>74.2</v>
          </cell>
          <cell r="V281" t="str">
            <v>언더컷</v>
          </cell>
          <cell r="W281">
            <v>46.99</v>
          </cell>
          <cell r="X281">
            <v>46.99</v>
          </cell>
          <cell r="Y281">
            <v>46.98</v>
          </cell>
          <cell r="Z281">
            <v>46.99</v>
          </cell>
          <cell r="AE281">
            <v>46.97</v>
          </cell>
          <cell r="AF281">
            <v>46.96</v>
          </cell>
          <cell r="AG281">
            <v>46.96</v>
          </cell>
          <cell r="AH281">
            <v>46.96</v>
          </cell>
          <cell r="BE281">
            <v>8.65</v>
          </cell>
          <cell r="BF281">
            <v>8.74</v>
          </cell>
          <cell r="BG281">
            <v>8.74</v>
          </cell>
          <cell r="BH281">
            <v>8.68</v>
          </cell>
        </row>
        <row r="282">
          <cell r="A282" t="str">
            <v>SI1537_20241211</v>
          </cell>
          <cell r="B282" t="str">
            <v>장세래</v>
          </cell>
          <cell r="C282">
            <v>45642</v>
          </cell>
          <cell r="D282" t="str">
            <v>설화수 진설클렌징폼 150ml (25AD 캡장식</v>
          </cell>
          <cell r="F282">
            <v>45.54</v>
          </cell>
          <cell r="G282">
            <v>45.54</v>
          </cell>
          <cell r="H282">
            <v>45.55</v>
          </cell>
          <cell r="I282">
            <v>45.56</v>
          </cell>
          <cell r="N282">
            <v>45.42</v>
          </cell>
          <cell r="O282">
            <v>45.42</v>
          </cell>
          <cell r="P282">
            <v>45.43</v>
          </cell>
          <cell r="Q282">
            <v>45.43</v>
          </cell>
          <cell r="BD282">
            <v>15.35</v>
          </cell>
          <cell r="BE282">
            <v>2.62</v>
          </cell>
          <cell r="BF282">
            <v>2.62</v>
          </cell>
          <cell r="BG282">
            <v>2.62</v>
          </cell>
          <cell r="BH282">
            <v>2.61</v>
          </cell>
        </row>
        <row r="283">
          <cell r="A283" t="str">
            <v>SI1519_20241215</v>
          </cell>
          <cell r="C283">
            <v>45643</v>
          </cell>
          <cell r="D283" t="str">
            <v>아이오페 슈퍼바이탈 크림 50ML(24EC 내용기</v>
          </cell>
          <cell r="F283">
            <v>51.99</v>
          </cell>
          <cell r="G283">
            <v>51.96</v>
          </cell>
          <cell r="H283">
            <v>51.93</v>
          </cell>
          <cell r="I283">
            <v>51.94</v>
          </cell>
          <cell r="N283">
            <v>51.79</v>
          </cell>
          <cell r="O283">
            <v>51.84</v>
          </cell>
          <cell r="P283">
            <v>51.77</v>
          </cell>
          <cell r="Q283">
            <v>51.81</v>
          </cell>
        </row>
        <row r="284">
          <cell r="A284" t="str">
            <v>SI1586_20241218</v>
          </cell>
          <cell r="B284" t="str">
            <v>장세래</v>
          </cell>
          <cell r="C284">
            <v>45644</v>
          </cell>
          <cell r="D284" t="str">
            <v>아이오페 슈퍼바이탈 크림 50ML(24EC 외용기</v>
          </cell>
          <cell r="F284">
            <v>69.17</v>
          </cell>
          <cell r="G284">
            <v>69.180000000000007</v>
          </cell>
          <cell r="H284">
            <v>69.180000000000007</v>
          </cell>
          <cell r="I284">
            <v>69.17</v>
          </cell>
          <cell r="N284">
            <v>68.930000000000007</v>
          </cell>
          <cell r="O284">
            <v>68.930000000000007</v>
          </cell>
          <cell r="P284">
            <v>68.95</v>
          </cell>
          <cell r="Q284">
            <v>68.930000000000007</v>
          </cell>
          <cell r="AE284">
            <v>65.180000000000007</v>
          </cell>
          <cell r="AF284">
            <v>65.22</v>
          </cell>
          <cell r="AG284">
            <v>65.239999999999995</v>
          </cell>
          <cell r="AH284">
            <v>65.19</v>
          </cell>
          <cell r="BE284">
            <v>20.9</v>
          </cell>
          <cell r="BF284">
            <v>21.03</v>
          </cell>
          <cell r="BG284">
            <v>21.09</v>
          </cell>
          <cell r="BH284">
            <v>20.97</v>
          </cell>
        </row>
        <row r="285">
          <cell r="A285" t="str">
            <v>SI1586_20241219</v>
          </cell>
          <cell r="B285" t="str">
            <v>장세래</v>
          </cell>
          <cell r="C285">
            <v>45644</v>
          </cell>
          <cell r="D285" t="str">
            <v>아이오페 슈퍼바이탈 크림 50ML(24EC 외용기</v>
          </cell>
          <cell r="F285">
            <v>69.180000000000007</v>
          </cell>
          <cell r="G285">
            <v>69.17</v>
          </cell>
          <cell r="H285">
            <v>69.180000000000007</v>
          </cell>
          <cell r="I285">
            <v>69.17</v>
          </cell>
          <cell r="N285">
            <v>68.92</v>
          </cell>
          <cell r="O285">
            <v>68.900000000000006</v>
          </cell>
          <cell r="P285">
            <v>68.94</v>
          </cell>
          <cell r="Q285">
            <v>68.92</v>
          </cell>
          <cell r="AE285">
            <v>65.17</v>
          </cell>
          <cell r="AF285">
            <v>65.17</v>
          </cell>
          <cell r="AG285">
            <v>65.19</v>
          </cell>
          <cell r="AH285">
            <v>65.19</v>
          </cell>
          <cell r="BE285">
            <v>20.93</v>
          </cell>
          <cell r="BF285">
            <v>21.03</v>
          </cell>
          <cell r="BG285">
            <v>21.13</v>
          </cell>
          <cell r="BH285">
            <v>20.97</v>
          </cell>
        </row>
        <row r="286">
          <cell r="A286" t="str">
            <v>SI1589_20241218</v>
          </cell>
          <cell r="C286">
            <v>45645</v>
          </cell>
          <cell r="D286" t="str">
            <v>아이오페 슈퍼바이탈 크림 50ML(24EC 외캡</v>
          </cell>
          <cell r="F286">
            <v>68.61</v>
          </cell>
          <cell r="G286">
            <v>68.59</v>
          </cell>
          <cell r="H286">
            <v>68.59</v>
          </cell>
          <cell r="I286">
            <v>68.61</v>
          </cell>
          <cell r="BE286">
            <v>18.8</v>
          </cell>
          <cell r="BF286">
            <v>18.920000000000002</v>
          </cell>
          <cell r="BG286">
            <v>18.920000000000002</v>
          </cell>
          <cell r="BH286">
            <v>18.86</v>
          </cell>
        </row>
        <row r="287">
          <cell r="A287" t="str">
            <v>SI1589_20241219</v>
          </cell>
          <cell r="C287">
            <v>45645</v>
          </cell>
          <cell r="D287" t="str">
            <v>아이오페 슈퍼바이탈 크림 50ML(24EC 외캡</v>
          </cell>
          <cell r="F287">
            <v>68.680000000000007</v>
          </cell>
          <cell r="G287">
            <v>68.7</v>
          </cell>
          <cell r="H287">
            <v>68.69</v>
          </cell>
          <cell r="I287">
            <v>68.69</v>
          </cell>
          <cell r="BE287">
            <v>19.04</v>
          </cell>
          <cell r="BF287">
            <v>19.09</v>
          </cell>
          <cell r="BG287">
            <v>19.03</v>
          </cell>
          <cell r="BH287">
            <v>19.12</v>
          </cell>
        </row>
        <row r="288">
          <cell r="A288" t="str">
            <v>SI1587_20241218</v>
          </cell>
          <cell r="C288">
            <v>45645</v>
          </cell>
          <cell r="D288" t="str">
            <v>아이오페 슈퍼바이탈 크림 50ML(24EC 용기받침</v>
          </cell>
          <cell r="F288">
            <v>71.86</v>
          </cell>
          <cell r="G288">
            <v>71.88</v>
          </cell>
          <cell r="H288">
            <v>71.849999999999994</v>
          </cell>
          <cell r="I288">
            <v>71.84</v>
          </cell>
          <cell r="N288">
            <v>71.709999999999994</v>
          </cell>
          <cell r="O288">
            <v>71.72</v>
          </cell>
          <cell r="P288">
            <v>71.73</v>
          </cell>
          <cell r="Q288">
            <v>71.709999999999994</v>
          </cell>
          <cell r="AE288">
            <v>63.39</v>
          </cell>
          <cell r="AF288">
            <v>63.39</v>
          </cell>
          <cell r="AG288">
            <v>63.39</v>
          </cell>
          <cell r="AH288">
            <v>63.37</v>
          </cell>
        </row>
        <row r="289">
          <cell r="A289" t="str">
            <v>SI1587_20241219</v>
          </cell>
          <cell r="C289">
            <v>45645</v>
          </cell>
          <cell r="D289" t="str">
            <v>아이오페 슈퍼바이탈 크림 50ML(24EC 용기받침</v>
          </cell>
          <cell r="F289">
            <v>71.86</v>
          </cell>
          <cell r="G289">
            <v>71.86</v>
          </cell>
          <cell r="H289">
            <v>71.87</v>
          </cell>
          <cell r="I289">
            <v>71.84</v>
          </cell>
        </row>
        <row r="290">
          <cell r="A290" t="str">
            <v>SI1588_20241218</v>
          </cell>
          <cell r="C290">
            <v>45646</v>
          </cell>
          <cell r="D290" t="str">
            <v>아이오페 슈퍼바이탈 크림 50ML(24EC 캡장식</v>
          </cell>
          <cell r="F290">
            <v>71.489999999999995</v>
          </cell>
          <cell r="G290">
            <v>71.5</v>
          </cell>
          <cell r="H290">
            <v>71.5</v>
          </cell>
          <cell r="I290">
            <v>71.489999999999995</v>
          </cell>
          <cell r="W290">
            <v>57.05</v>
          </cell>
          <cell r="X290">
            <v>57.07</v>
          </cell>
          <cell r="Y290">
            <v>57.08</v>
          </cell>
          <cell r="Z290">
            <v>57.05</v>
          </cell>
          <cell r="BD290">
            <v>26.06</v>
          </cell>
          <cell r="BE290">
            <v>12.73</v>
          </cell>
          <cell r="BF290">
            <v>12.76</v>
          </cell>
          <cell r="BG290">
            <v>12.76</v>
          </cell>
          <cell r="BH290">
            <v>12.69</v>
          </cell>
        </row>
        <row r="291">
          <cell r="A291" t="str">
            <v>SI1588_20241219</v>
          </cell>
          <cell r="C291">
            <v>45646</v>
          </cell>
          <cell r="D291" t="str">
            <v>아이오페 슈퍼바이탈 크림 50ML(24EC 캡장식</v>
          </cell>
          <cell r="F291">
            <v>71.53</v>
          </cell>
          <cell r="G291">
            <v>71.569999999999993</v>
          </cell>
          <cell r="H291">
            <v>71.58</v>
          </cell>
          <cell r="I291">
            <v>71.53</v>
          </cell>
          <cell r="W291">
            <v>57.08</v>
          </cell>
          <cell r="X291">
            <v>57.06</v>
          </cell>
          <cell r="Y291">
            <v>57.09</v>
          </cell>
          <cell r="Z291">
            <v>57.09</v>
          </cell>
          <cell r="BD291">
            <v>30.51</v>
          </cell>
          <cell r="BE291">
            <v>12.77</v>
          </cell>
          <cell r="BF291">
            <v>12.93</v>
          </cell>
          <cell r="BG291">
            <v>12.92</v>
          </cell>
          <cell r="BH291">
            <v>12.77</v>
          </cell>
        </row>
        <row r="292">
          <cell r="A292" t="str">
            <v>SI1557_20241218</v>
          </cell>
          <cell r="B292" t="str">
            <v>유재호</v>
          </cell>
          <cell r="C292">
            <v>45649</v>
          </cell>
          <cell r="D292" t="str">
            <v>라보에이치 모발강화 트리트먼트 200ml 50파이 원터치캡</v>
          </cell>
          <cell r="E292" t="str">
            <v>언더컷</v>
          </cell>
          <cell r="F292">
            <v>35.880000000000003</v>
          </cell>
          <cell r="G292">
            <v>35.869999999999997</v>
          </cell>
          <cell r="H292">
            <v>35.869999999999997</v>
          </cell>
          <cell r="I292">
            <v>35.9</v>
          </cell>
          <cell r="J292">
            <v>35.9</v>
          </cell>
          <cell r="K292">
            <v>35.9</v>
          </cell>
          <cell r="L292">
            <v>35.9</v>
          </cell>
          <cell r="M292">
            <v>35.880000000000003</v>
          </cell>
          <cell r="N292">
            <v>35.799999999999997</v>
          </cell>
          <cell r="O292">
            <v>35.75</v>
          </cell>
          <cell r="P292">
            <v>35.76</v>
          </cell>
          <cell r="Q292">
            <v>35.78</v>
          </cell>
          <cell r="R292">
            <v>35.79</v>
          </cell>
          <cell r="S292">
            <v>35.79</v>
          </cell>
          <cell r="T292">
            <v>35.79</v>
          </cell>
          <cell r="U292">
            <v>35.799999999999997</v>
          </cell>
          <cell r="V292" t="str">
            <v>나사경</v>
          </cell>
          <cell r="W292">
            <v>23.78</v>
          </cell>
          <cell r="X292">
            <v>23.78</v>
          </cell>
          <cell r="Y292">
            <v>23.77</v>
          </cell>
          <cell r="Z292">
            <v>23.77</v>
          </cell>
          <cell r="AA292">
            <v>23.76</v>
          </cell>
          <cell r="AB292">
            <v>23.77</v>
          </cell>
          <cell r="AC292">
            <v>23.76</v>
          </cell>
          <cell r="AD292">
            <v>23.77</v>
          </cell>
          <cell r="AE292">
            <v>23.76</v>
          </cell>
          <cell r="AF292">
            <v>23.74</v>
          </cell>
          <cell r="AG292">
            <v>23.69</v>
          </cell>
          <cell r="AH292">
            <v>23.69</v>
          </cell>
          <cell r="AI292">
            <v>23.75</v>
          </cell>
          <cell r="AJ292">
            <v>23.74</v>
          </cell>
          <cell r="AK292">
            <v>23.72</v>
          </cell>
          <cell r="AL292">
            <v>23.75</v>
          </cell>
          <cell r="BD292">
            <v>34.090000000000003</v>
          </cell>
          <cell r="BE292">
            <v>10.48</v>
          </cell>
          <cell r="BF292">
            <v>10.55</v>
          </cell>
          <cell r="BG292">
            <v>10.5</v>
          </cell>
          <cell r="BH292">
            <v>10.48</v>
          </cell>
          <cell r="BI292">
            <v>10.54</v>
          </cell>
          <cell r="BJ292">
            <v>10.56</v>
          </cell>
          <cell r="BK292">
            <v>10.6</v>
          </cell>
          <cell r="BL292">
            <v>10.54</v>
          </cell>
        </row>
        <row r="293">
          <cell r="A293" t="str">
            <v>SI1541_20241222</v>
          </cell>
          <cell r="B293" t="str">
            <v>한창구</v>
          </cell>
          <cell r="C293">
            <v>45650</v>
          </cell>
          <cell r="D293" t="str">
            <v>아이오페 스템Ⅲ 클리니컬 리커버리 크림 50ML(25) 외캡 사출</v>
          </cell>
          <cell r="E293" t="str">
            <v>내경</v>
          </cell>
          <cell r="F293">
            <v>72.3</v>
          </cell>
          <cell r="G293">
            <v>72.3</v>
          </cell>
          <cell r="H293">
            <v>72.31</v>
          </cell>
          <cell r="I293">
            <v>72.27</v>
          </cell>
          <cell r="N293">
            <v>71.16</v>
          </cell>
          <cell r="O293">
            <v>71.180000000000007</v>
          </cell>
          <cell r="P293">
            <v>71.14</v>
          </cell>
          <cell r="Q293">
            <v>71.150000000000006</v>
          </cell>
          <cell r="AE293">
            <v>74.89</v>
          </cell>
          <cell r="AF293">
            <v>74.88</v>
          </cell>
          <cell r="AG293">
            <v>74.930000000000007</v>
          </cell>
          <cell r="AH293">
            <v>74.89</v>
          </cell>
          <cell r="BD293">
            <v>18.440000000000001</v>
          </cell>
          <cell r="BE293">
            <v>17.940000000000001</v>
          </cell>
          <cell r="BF293">
            <v>17.989999999999998</v>
          </cell>
          <cell r="BG293">
            <v>17.95</v>
          </cell>
          <cell r="BH293">
            <v>17.97</v>
          </cell>
        </row>
        <row r="294">
          <cell r="A294" t="str">
            <v>SI1560_20241218</v>
          </cell>
          <cell r="C294">
            <v>45651</v>
          </cell>
          <cell r="D294" t="str">
            <v>라보에이치 모발강화 트리트먼트 300ml 60파이 장식</v>
          </cell>
          <cell r="E294" t="str">
            <v>외경</v>
          </cell>
          <cell r="F294">
            <v>53.42</v>
          </cell>
          <cell r="G294">
            <v>53.44</v>
          </cell>
          <cell r="H294">
            <v>53.44</v>
          </cell>
          <cell r="I294">
            <v>53.42</v>
          </cell>
          <cell r="J294">
            <v>53.41</v>
          </cell>
          <cell r="K294">
            <v>53.44</v>
          </cell>
          <cell r="L294">
            <v>53.43</v>
          </cell>
          <cell r="M294">
            <v>53.42</v>
          </cell>
          <cell r="N294">
            <v>53.26</v>
          </cell>
          <cell r="O294">
            <v>53.26</v>
          </cell>
          <cell r="P294">
            <v>53.28</v>
          </cell>
          <cell r="Q294">
            <v>53.23</v>
          </cell>
          <cell r="R294">
            <v>53.28</v>
          </cell>
          <cell r="S294">
            <v>53.28</v>
          </cell>
          <cell r="T294">
            <v>53.23</v>
          </cell>
          <cell r="U294">
            <v>53.26</v>
          </cell>
          <cell r="W294">
            <v>52.91</v>
          </cell>
          <cell r="X294">
            <v>52.92</v>
          </cell>
          <cell r="Y294">
            <v>52.92</v>
          </cell>
          <cell r="Z294">
            <v>52.93</v>
          </cell>
          <cell r="AA294">
            <v>52.92</v>
          </cell>
          <cell r="AB294">
            <v>52.92</v>
          </cell>
          <cell r="AC294">
            <v>52.93</v>
          </cell>
          <cell r="AD294">
            <v>52.92</v>
          </cell>
          <cell r="AE294">
            <v>52.81</v>
          </cell>
          <cell r="AF294">
            <v>52.78</v>
          </cell>
          <cell r="AG294">
            <v>52.79</v>
          </cell>
          <cell r="AH294">
            <v>52.77</v>
          </cell>
          <cell r="AI294">
            <v>52.75</v>
          </cell>
          <cell r="AJ294">
            <v>52.78</v>
          </cell>
          <cell r="AK294">
            <v>52.72</v>
          </cell>
          <cell r="AL294">
            <v>52.77</v>
          </cell>
          <cell r="BD294">
            <v>11.22</v>
          </cell>
          <cell r="BE294">
            <v>3.28</v>
          </cell>
          <cell r="BF294">
            <v>3.29</v>
          </cell>
          <cell r="BG294">
            <v>3.3</v>
          </cell>
          <cell r="BH294">
            <v>3.27</v>
          </cell>
          <cell r="BI294">
            <v>3.27</v>
          </cell>
          <cell r="BJ294">
            <v>3.29</v>
          </cell>
          <cell r="BK294">
            <v>3.28</v>
          </cell>
          <cell r="BL294">
            <v>3.27</v>
          </cell>
        </row>
        <row r="295">
          <cell r="A295" t="str">
            <v>SI1558_20241218</v>
          </cell>
          <cell r="C295">
            <v>45651</v>
          </cell>
          <cell r="D295" t="str">
            <v>라보에이치 모발강화 트리트먼트 200ml 50파이 장식</v>
          </cell>
          <cell r="F295">
            <v>44.33</v>
          </cell>
          <cell r="G295">
            <v>44.34</v>
          </cell>
          <cell r="H295">
            <v>44.34</v>
          </cell>
          <cell r="I295">
            <v>44.33</v>
          </cell>
          <cell r="J295">
            <v>44.32</v>
          </cell>
          <cell r="K295">
            <v>44.34</v>
          </cell>
          <cell r="L295">
            <v>44.34</v>
          </cell>
          <cell r="M295">
            <v>44.32</v>
          </cell>
          <cell r="N295">
            <v>44.2</v>
          </cell>
          <cell r="O295">
            <v>44.17</v>
          </cell>
          <cell r="P295">
            <v>44.17</v>
          </cell>
          <cell r="Q295">
            <v>44.17</v>
          </cell>
          <cell r="R295">
            <v>44.2</v>
          </cell>
          <cell r="S295">
            <v>44.15</v>
          </cell>
          <cell r="T295">
            <v>44.16</v>
          </cell>
          <cell r="U295">
            <v>44.17</v>
          </cell>
          <cell r="W295">
            <v>43.8</v>
          </cell>
          <cell r="X295">
            <v>43.81</v>
          </cell>
          <cell r="Y295">
            <v>43.81</v>
          </cell>
          <cell r="Z295">
            <v>43.8</v>
          </cell>
          <cell r="AA295">
            <v>43.81</v>
          </cell>
          <cell r="AB295">
            <v>43.82</v>
          </cell>
          <cell r="AC295">
            <v>43.81</v>
          </cell>
          <cell r="AD295">
            <v>43.8</v>
          </cell>
          <cell r="AE295">
            <v>43.65</v>
          </cell>
          <cell r="AF295">
            <v>43.65</v>
          </cell>
          <cell r="AG295">
            <v>43.63</v>
          </cell>
          <cell r="AH295">
            <v>43.64</v>
          </cell>
          <cell r="AI295">
            <v>43.66</v>
          </cell>
          <cell r="AJ295">
            <v>43.6</v>
          </cell>
          <cell r="AK295">
            <v>43.63</v>
          </cell>
          <cell r="AL295">
            <v>43.67</v>
          </cell>
          <cell r="BD295">
            <v>11.22</v>
          </cell>
          <cell r="BE295">
            <v>2.2799999999999998</v>
          </cell>
          <cell r="BF295">
            <v>2.2999999999999998</v>
          </cell>
          <cell r="BG295">
            <v>2.31</v>
          </cell>
          <cell r="BH295">
            <v>2.29</v>
          </cell>
          <cell r="BI295">
            <v>2.2599999999999998</v>
          </cell>
          <cell r="BJ295">
            <v>2.2799999999999998</v>
          </cell>
          <cell r="BK295">
            <v>2.29</v>
          </cell>
          <cell r="BL295">
            <v>2.31</v>
          </cell>
        </row>
        <row r="296">
          <cell r="A296" t="str">
            <v>SI1542_20241225</v>
          </cell>
          <cell r="C296">
            <v>45651</v>
          </cell>
          <cell r="D296" t="str">
            <v>아이오페 스템Ⅲ 클리니컬 리커버리 크림 50ML(25) 내캡 사출</v>
          </cell>
          <cell r="F296">
            <v>71.81</v>
          </cell>
          <cell r="G296">
            <v>71.83</v>
          </cell>
          <cell r="H296">
            <v>71.84</v>
          </cell>
          <cell r="I296">
            <v>71.819999999999993</v>
          </cell>
          <cell r="N296">
            <v>71.63</v>
          </cell>
          <cell r="O296">
            <v>71.73</v>
          </cell>
          <cell r="P296">
            <v>71.67</v>
          </cell>
          <cell r="Q296">
            <v>71.739999999999995</v>
          </cell>
          <cell r="AE296">
            <v>58.68</v>
          </cell>
          <cell r="AF296">
            <v>58.7</v>
          </cell>
          <cell r="AG296">
            <v>58.66</v>
          </cell>
          <cell r="AH296">
            <v>58.66</v>
          </cell>
          <cell r="BE296">
            <v>17.760000000000002</v>
          </cell>
          <cell r="BF296">
            <v>17.88</v>
          </cell>
          <cell r="BG296">
            <v>17.93</v>
          </cell>
          <cell r="BH296">
            <v>17.690000000000001</v>
          </cell>
        </row>
        <row r="297">
          <cell r="A297" t="str">
            <v>SI1519_20250102</v>
          </cell>
          <cell r="C297">
            <v>45660</v>
          </cell>
          <cell r="D297" t="str">
            <v>아이오페 슈퍼바이탈 크림 50ML(24EC 내용기</v>
          </cell>
          <cell r="F297">
            <v>52.06</v>
          </cell>
          <cell r="G297">
            <v>52.04</v>
          </cell>
          <cell r="H297">
            <v>52.03</v>
          </cell>
          <cell r="I297">
            <v>52.06</v>
          </cell>
          <cell r="BE297">
            <v>19.82</v>
          </cell>
          <cell r="BF297">
            <v>19.899999999999999</v>
          </cell>
          <cell r="BG297">
            <v>19.91</v>
          </cell>
          <cell r="BH297">
            <v>19.82</v>
          </cell>
        </row>
        <row r="298">
          <cell r="A298" t="str">
            <v>SI1560_20250106</v>
          </cell>
          <cell r="B298" t="str">
            <v>한창구/이성춘</v>
          </cell>
          <cell r="C298">
            <v>45663</v>
          </cell>
          <cell r="D298" t="str">
            <v>라보에이치 모발강화 트리트먼트 300ml 60파이 장식</v>
          </cell>
          <cell r="E298" t="str">
            <v>외경</v>
          </cell>
          <cell r="F298">
            <v>53.42</v>
          </cell>
          <cell r="G298">
            <v>53.44</v>
          </cell>
          <cell r="H298">
            <v>53.44</v>
          </cell>
          <cell r="I298">
            <v>53.43</v>
          </cell>
          <cell r="J298">
            <v>53.44</v>
          </cell>
          <cell r="K298">
            <v>53.42</v>
          </cell>
          <cell r="L298">
            <v>53.42</v>
          </cell>
          <cell r="M298">
            <v>53.42</v>
          </cell>
          <cell r="N298">
            <v>53.22</v>
          </cell>
          <cell r="O298">
            <v>53.23</v>
          </cell>
          <cell r="P298">
            <v>53.26</v>
          </cell>
          <cell r="Q298">
            <v>53.24</v>
          </cell>
          <cell r="R298">
            <v>53.23</v>
          </cell>
          <cell r="S298">
            <v>53.23</v>
          </cell>
          <cell r="T298">
            <v>53.27</v>
          </cell>
          <cell r="U298">
            <v>53.25</v>
          </cell>
          <cell r="W298">
            <v>52.92</v>
          </cell>
          <cell r="X298">
            <v>52.91</v>
          </cell>
          <cell r="Y298">
            <v>52.92</v>
          </cell>
          <cell r="Z298">
            <v>52.92</v>
          </cell>
          <cell r="AA298">
            <v>52.92</v>
          </cell>
          <cell r="AB298">
            <v>52.91</v>
          </cell>
          <cell r="AC298">
            <v>52.92</v>
          </cell>
          <cell r="AD298">
            <v>52.92</v>
          </cell>
          <cell r="AE298">
            <v>52.69</v>
          </cell>
          <cell r="AF298">
            <v>52.75</v>
          </cell>
          <cell r="AG298">
            <v>52.78</v>
          </cell>
          <cell r="AH298">
            <v>52.69</v>
          </cell>
          <cell r="AI298">
            <v>52.78</v>
          </cell>
          <cell r="AJ298">
            <v>52.78</v>
          </cell>
          <cell r="AK298">
            <v>52.79</v>
          </cell>
          <cell r="AL298">
            <v>52.77</v>
          </cell>
          <cell r="BD298">
            <v>11.22</v>
          </cell>
          <cell r="BE298">
            <v>3.25</v>
          </cell>
          <cell r="BF298">
            <v>3.29</v>
          </cell>
          <cell r="BG298">
            <v>3.29</v>
          </cell>
          <cell r="BH298">
            <v>3.27</v>
          </cell>
          <cell r="BI298">
            <v>3.29</v>
          </cell>
          <cell r="BJ298">
            <v>3.27</v>
          </cell>
          <cell r="BK298">
            <v>3.31</v>
          </cell>
          <cell r="BL298">
            <v>3.24</v>
          </cell>
        </row>
        <row r="299">
          <cell r="A299" t="str">
            <v>SI1541_20250106</v>
          </cell>
          <cell r="B299" t="str">
            <v>장세래</v>
          </cell>
          <cell r="C299">
            <v>45664</v>
          </cell>
          <cell r="D299" t="str">
            <v>아이오페 스템Ⅲ 클리니컬 리커버리 크림 50ML(25) 외캡 사출</v>
          </cell>
          <cell r="F299">
            <v>72.33</v>
          </cell>
          <cell r="G299">
            <v>72.28</v>
          </cell>
          <cell r="H299">
            <v>72.36</v>
          </cell>
          <cell r="I299">
            <v>72.34</v>
          </cell>
          <cell r="N299">
            <v>72.27</v>
          </cell>
          <cell r="O299">
            <v>72.319999999999993</v>
          </cell>
          <cell r="P299">
            <v>72.31</v>
          </cell>
          <cell r="Q299">
            <v>72.31</v>
          </cell>
          <cell r="W299">
            <v>75.02</v>
          </cell>
          <cell r="X299">
            <v>74.98</v>
          </cell>
          <cell r="Y299">
            <v>75.02</v>
          </cell>
          <cell r="Z299">
            <v>75.010000000000005</v>
          </cell>
          <cell r="AE299">
            <v>74.900000000000006</v>
          </cell>
          <cell r="AF299">
            <v>74.89</v>
          </cell>
          <cell r="AG299">
            <v>74.88</v>
          </cell>
          <cell r="AH299">
            <v>74.87</v>
          </cell>
          <cell r="BE299">
            <v>18.16</v>
          </cell>
          <cell r="BF299">
            <v>18.32</v>
          </cell>
          <cell r="BG299">
            <v>18.16</v>
          </cell>
          <cell r="BH299">
            <v>18.29</v>
          </cell>
        </row>
        <row r="300">
          <cell r="A300" t="str">
            <v>SI1540_20250106</v>
          </cell>
          <cell r="B300" t="str">
            <v>장세래</v>
          </cell>
          <cell r="C300">
            <v>45664</v>
          </cell>
          <cell r="D300" t="str">
            <v>아이오페 스템Ⅲ 클리니컬 리커버리 크림 50ML(25) 캡장식 사출</v>
          </cell>
          <cell r="F300">
            <v>74.64</v>
          </cell>
          <cell r="G300">
            <v>74.650000000000006</v>
          </cell>
          <cell r="H300">
            <v>74.67</v>
          </cell>
          <cell r="I300">
            <v>74.66</v>
          </cell>
          <cell r="N300">
            <v>74.53</v>
          </cell>
          <cell r="O300">
            <v>74.510000000000005</v>
          </cell>
          <cell r="P300">
            <v>74.53</v>
          </cell>
          <cell r="Q300">
            <v>74.52</v>
          </cell>
          <cell r="W300">
            <v>47.02</v>
          </cell>
          <cell r="X300">
            <v>47.03</v>
          </cell>
          <cell r="Y300">
            <v>47.02</v>
          </cell>
          <cell r="Z300">
            <v>47.02</v>
          </cell>
          <cell r="AE300">
            <v>46.96</v>
          </cell>
          <cell r="AF300">
            <v>46.96</v>
          </cell>
          <cell r="AG300">
            <v>46.95</v>
          </cell>
          <cell r="AH300">
            <v>46.96</v>
          </cell>
          <cell r="BD300">
            <v>23.98</v>
          </cell>
          <cell r="BE300">
            <v>11.42</v>
          </cell>
          <cell r="BF300">
            <v>11.53</v>
          </cell>
          <cell r="BG300">
            <v>11.59</v>
          </cell>
          <cell r="BH300">
            <v>11.47</v>
          </cell>
          <cell r="BI300">
            <v>11.43</v>
          </cell>
          <cell r="BJ300">
            <v>11.52</v>
          </cell>
          <cell r="BK300">
            <v>11.42</v>
          </cell>
          <cell r="BL300">
            <v>11.46</v>
          </cell>
        </row>
        <row r="301">
          <cell r="A301" t="str">
            <v>SI1543_20250115</v>
          </cell>
          <cell r="B301" t="str">
            <v>한창구</v>
          </cell>
          <cell r="C301">
            <v>45673</v>
          </cell>
          <cell r="D301" t="str">
            <v>아이오페 스템Ⅲ 클리니컬 리커버리 크림 50ML(25) 내용기</v>
          </cell>
          <cell r="F301">
            <v>51.87</v>
          </cell>
          <cell r="G301">
            <v>51.88</v>
          </cell>
          <cell r="H301">
            <v>51.85</v>
          </cell>
          <cell r="I301">
            <v>51.85</v>
          </cell>
          <cell r="J301">
            <v>51.85</v>
          </cell>
          <cell r="K301">
            <v>51.89</v>
          </cell>
          <cell r="L301">
            <v>51.88</v>
          </cell>
          <cell r="M301">
            <v>51.88</v>
          </cell>
          <cell r="W301">
            <v>57.21</v>
          </cell>
          <cell r="X301">
            <v>57.21</v>
          </cell>
          <cell r="Y301">
            <v>57.23</v>
          </cell>
          <cell r="Z301">
            <v>57.21</v>
          </cell>
          <cell r="AA301">
            <v>57.21</v>
          </cell>
          <cell r="AB301">
            <v>57.2</v>
          </cell>
          <cell r="AC301">
            <v>57.19</v>
          </cell>
          <cell r="AD301">
            <v>57.23</v>
          </cell>
          <cell r="BD301">
            <v>11.65</v>
          </cell>
          <cell r="BE301">
            <v>9.73</v>
          </cell>
          <cell r="BF301">
            <v>9.77</v>
          </cell>
          <cell r="BG301">
            <v>9.7799999999999994</v>
          </cell>
          <cell r="BH301">
            <v>9.74</v>
          </cell>
          <cell r="BI301">
            <v>9.73</v>
          </cell>
          <cell r="BJ301">
            <v>9.8000000000000007</v>
          </cell>
          <cell r="BK301">
            <v>9.82</v>
          </cell>
          <cell r="BL301">
            <v>9.74</v>
          </cell>
        </row>
        <row r="302">
          <cell r="A302" t="str">
            <v>SI1582_20250116</v>
          </cell>
          <cell r="C302">
            <v>45674</v>
          </cell>
          <cell r="D302" t="str">
            <v>미장센 헬로 젤리 팡팡 상용기(글로우쿠션 금형)</v>
          </cell>
          <cell r="F302">
            <v>62.96</v>
          </cell>
          <cell r="G302">
            <v>62.96</v>
          </cell>
          <cell r="H302">
            <v>62.96</v>
          </cell>
          <cell r="I302">
            <v>62.97</v>
          </cell>
          <cell r="J302">
            <v>62.96</v>
          </cell>
          <cell r="K302">
            <v>62.96</v>
          </cell>
          <cell r="L302">
            <v>62.98</v>
          </cell>
          <cell r="M302">
            <v>62.97</v>
          </cell>
          <cell r="BE302">
            <v>10.57</v>
          </cell>
          <cell r="BF302">
            <v>10.61</v>
          </cell>
          <cell r="BG302">
            <v>10.61</v>
          </cell>
          <cell r="BH302">
            <v>10.57</v>
          </cell>
          <cell r="BI302">
            <v>10.55</v>
          </cell>
          <cell r="BJ302">
            <v>10.6</v>
          </cell>
          <cell r="BK302">
            <v>10.54</v>
          </cell>
          <cell r="BL302">
            <v>10.53</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실험지시_김도균"/>
      <sheetName val="품목별_CT_중량_치수"/>
      <sheetName val="작업지시서"/>
      <sheetName val="출력물"/>
      <sheetName val="측정_24H후"/>
      <sheetName val="측정_24H데이타"/>
    </sheetNames>
    <sheetDataSet>
      <sheetData sheetId="0"/>
      <sheetData sheetId="1"/>
      <sheetData sheetId="2"/>
      <sheetData sheetId="3"/>
      <sheetData sheetId="4"/>
      <sheetData sheetId="5">
        <row r="1">
          <cell r="A1" t="str">
            <v>의뢰코드</v>
          </cell>
          <cell r="B1" t="str">
            <v>측정자</v>
          </cell>
          <cell r="C1" t="str">
            <v>실험일자</v>
          </cell>
          <cell r="D1" t="str">
            <v>제품명</v>
          </cell>
          <cell r="E1" t="str">
            <v>측정A</v>
          </cell>
          <cell r="F1" t="str">
            <v>A_24H후_1</v>
          </cell>
          <cell r="G1" t="str">
            <v>A_24H후_2</v>
          </cell>
          <cell r="H1" t="str">
            <v>A_24H후_3</v>
          </cell>
          <cell r="I1" t="str">
            <v>A_24H후_4</v>
          </cell>
          <cell r="J1" t="str">
            <v>A_24H후_5</v>
          </cell>
          <cell r="K1" t="str">
            <v>A_24H후_6</v>
          </cell>
          <cell r="L1" t="str">
            <v>A_24H후_7</v>
          </cell>
          <cell r="M1" t="str">
            <v>A_24H후_8</v>
          </cell>
          <cell r="N1" t="str">
            <v>측정B</v>
          </cell>
          <cell r="O1" t="str">
            <v>B_24H후_1</v>
          </cell>
          <cell r="P1" t="str">
            <v>B_24H후_2</v>
          </cell>
          <cell r="Q1" t="str">
            <v>B_24H후_3</v>
          </cell>
          <cell r="R1" t="str">
            <v>B_24H후_4</v>
          </cell>
          <cell r="S1" t="str">
            <v>B_24H후_5</v>
          </cell>
          <cell r="T1" t="str">
            <v>B_24H후_6</v>
          </cell>
          <cell r="U1" t="str">
            <v>B_24H후_7</v>
          </cell>
          <cell r="V1" t="str">
            <v>B_24H후_8</v>
          </cell>
          <cell r="W1" t="str">
            <v>측정C</v>
          </cell>
          <cell r="X1" t="str">
            <v>C_24H후_1</v>
          </cell>
          <cell r="Y1" t="str">
            <v>C_24H후_2</v>
          </cell>
          <cell r="Z1" t="str">
            <v>C_24H후_3</v>
          </cell>
          <cell r="AA1" t="str">
            <v>C_24H후_4</v>
          </cell>
          <cell r="AB1" t="str">
            <v>C_24H후_5</v>
          </cell>
          <cell r="AC1" t="str">
            <v>C_24H후_6</v>
          </cell>
          <cell r="AD1" t="str">
            <v>C_24H후_7</v>
          </cell>
          <cell r="AE1" t="str">
            <v>C_24H후_8</v>
          </cell>
        </row>
        <row r="2">
          <cell r="A2" t="str">
            <v>SI1618_20260707</v>
          </cell>
          <cell r="B2" t="str">
            <v>한창구</v>
          </cell>
          <cell r="C2">
            <v>46210</v>
          </cell>
          <cell r="D2" t="str">
            <v>설화수 진설명작크림 60ML (26AD 내용기</v>
          </cell>
          <cell r="E2" t="str">
            <v>언더컷</v>
          </cell>
          <cell r="F2">
            <v>73.53</v>
          </cell>
          <cell r="G2">
            <v>73.540000000000006</v>
          </cell>
          <cell r="N2" t="str">
            <v>언더컷2</v>
          </cell>
          <cell r="O2">
            <v>62.24</v>
          </cell>
          <cell r="P2">
            <v>62.25</v>
          </cell>
          <cell r="W2" t="str">
            <v>내경</v>
          </cell>
          <cell r="X2">
            <v>63.26</v>
          </cell>
          <cell r="Y2">
            <v>63.32</v>
          </cell>
        </row>
        <row r="3">
          <cell r="A3" t="str">
            <v>SI1621_20260707</v>
          </cell>
          <cell r="B3" t="str">
            <v>유재호</v>
          </cell>
          <cell r="C3">
            <v>46210</v>
          </cell>
          <cell r="D3" t="str">
            <v>설화수 진설명작크림 60ML (26AD 숄더장식 사출</v>
          </cell>
          <cell r="E3" t="str">
            <v>외경</v>
          </cell>
          <cell r="F3">
            <v>94.2</v>
          </cell>
          <cell r="G3">
            <v>94.17</v>
          </cell>
          <cell r="N3" t="str">
            <v>내경</v>
          </cell>
          <cell r="O3">
            <v>73.44</v>
          </cell>
          <cell r="P3">
            <v>73.44</v>
          </cell>
          <cell r="W3" t="str">
            <v>언더컷</v>
          </cell>
          <cell r="X3">
            <v>72.56</v>
          </cell>
          <cell r="Y3">
            <v>72.56</v>
          </cell>
        </row>
        <row r="4">
          <cell r="A4" t="str">
            <v>SI1615_20260707</v>
          </cell>
          <cell r="B4" t="str">
            <v>유재호</v>
          </cell>
          <cell r="C4">
            <v>46210</v>
          </cell>
          <cell r="D4" t="str">
            <v>설화수 진설명작크림 60ML (26AD 캡장식-하단링</v>
          </cell>
          <cell r="E4" t="str">
            <v>외경</v>
          </cell>
          <cell r="F4">
            <v>84.89</v>
          </cell>
          <cell r="G4">
            <v>84.83</v>
          </cell>
          <cell r="N4" t="str">
            <v>언더컷</v>
          </cell>
          <cell r="O4">
            <v>79.819999999999993</v>
          </cell>
          <cell r="P4">
            <v>79.89</v>
          </cell>
          <cell r="W4">
            <v>0</v>
          </cell>
        </row>
        <row r="5">
          <cell r="A5" t="str">
            <v>SI1674_20260703</v>
          </cell>
          <cell r="B5" t="str">
            <v>장세래</v>
          </cell>
          <cell r="C5">
            <v>46206</v>
          </cell>
          <cell r="D5" t="str">
            <v>미니슬림쿠션 접시 사출</v>
          </cell>
          <cell r="E5" t="str">
            <v>외경</v>
          </cell>
          <cell r="F5">
            <v>53.05</v>
          </cell>
          <cell r="G5">
            <v>53.05</v>
          </cell>
          <cell r="H5">
            <v>53.01</v>
          </cell>
          <cell r="I5">
            <v>53</v>
          </cell>
          <cell r="J5">
            <v>53.06</v>
          </cell>
          <cell r="K5">
            <v>53.07</v>
          </cell>
          <cell r="L5">
            <v>53.06</v>
          </cell>
          <cell r="M5">
            <v>53.03</v>
          </cell>
          <cell r="N5" t="str">
            <v>언더컷</v>
          </cell>
          <cell r="O5">
            <v>52.37</v>
          </cell>
          <cell r="P5">
            <v>52.41</v>
          </cell>
          <cell r="Q5">
            <v>52.42</v>
          </cell>
          <cell r="R5">
            <v>52.41</v>
          </cell>
          <cell r="S5">
            <v>52.4</v>
          </cell>
          <cell r="T5">
            <v>52.43</v>
          </cell>
          <cell r="U5">
            <v>52.45</v>
          </cell>
          <cell r="V5">
            <v>52.39</v>
          </cell>
          <cell r="W5" t="str">
            <v>외고</v>
          </cell>
          <cell r="X5">
            <v>7.8</v>
          </cell>
          <cell r="Y5">
            <v>7.8</v>
          </cell>
          <cell r="Z5">
            <v>7.8</v>
          </cell>
          <cell r="AA5">
            <v>7.8</v>
          </cell>
          <cell r="AB5">
            <v>7.8</v>
          </cell>
          <cell r="AC5">
            <v>7.77</v>
          </cell>
          <cell r="AD5">
            <v>7.85</v>
          </cell>
          <cell r="AE5">
            <v>7.78</v>
          </cell>
        </row>
        <row r="6">
          <cell r="A6" t="str">
            <v>SI1619_20260625</v>
          </cell>
          <cell r="B6" t="str">
            <v>한창구</v>
          </cell>
          <cell r="C6">
            <v>46198</v>
          </cell>
          <cell r="D6" t="str">
            <v>설화수 진설명작크림 60ML (26AD 외용기</v>
          </cell>
          <cell r="E6" t="str">
            <v>나사경</v>
          </cell>
          <cell r="F6">
            <v>76.489999999999995</v>
          </cell>
          <cell r="G6">
            <v>76.510000000000005</v>
          </cell>
          <cell r="N6" t="str">
            <v>언더컷B</v>
          </cell>
          <cell r="O6">
            <v>71.930000000000007</v>
          </cell>
          <cell r="P6">
            <v>71.92</v>
          </cell>
          <cell r="W6" t="str">
            <v>언더컷</v>
          </cell>
          <cell r="X6">
            <v>73.05</v>
          </cell>
          <cell r="Y6">
            <v>73.06</v>
          </cell>
        </row>
        <row r="7">
          <cell r="A7" t="str">
            <v>SI1618_20260629</v>
          </cell>
          <cell r="B7" t="str">
            <v>유재호</v>
          </cell>
          <cell r="C7">
            <v>46202</v>
          </cell>
          <cell r="D7" t="str">
            <v>설화수 진설명작크림 60ML (26AD 내용기</v>
          </cell>
          <cell r="E7" t="str">
            <v>언더컷</v>
          </cell>
          <cell r="F7">
            <v>62.03</v>
          </cell>
          <cell r="G7">
            <v>62.01</v>
          </cell>
          <cell r="N7" t="str">
            <v>언더컷2</v>
          </cell>
          <cell r="W7" t="str">
            <v>내경</v>
          </cell>
          <cell r="X7">
            <v>63.87</v>
          </cell>
          <cell r="Y7">
            <v>63.81</v>
          </cell>
        </row>
        <row r="8">
          <cell r="A8" t="str">
            <v>SI1617_20260629</v>
          </cell>
          <cell r="B8" t="str">
            <v>유재호</v>
          </cell>
          <cell r="C8">
            <v>46202</v>
          </cell>
          <cell r="D8" t="str">
            <v>설화수 진설명작크림 60ML (26AD 중용기</v>
          </cell>
          <cell r="E8" t="str">
            <v>외경</v>
          </cell>
          <cell r="F8">
            <v>64.650000000000006</v>
          </cell>
          <cell r="G8">
            <v>64.62</v>
          </cell>
          <cell r="N8" t="str">
            <v>내경</v>
          </cell>
          <cell r="O8">
            <v>61.66</v>
          </cell>
          <cell r="P8">
            <v>61.68</v>
          </cell>
          <cell r="W8" t="str">
            <v>언더컷</v>
          </cell>
          <cell r="X8">
            <v>61.59</v>
          </cell>
          <cell r="Y8">
            <v>61.61</v>
          </cell>
        </row>
        <row r="9">
          <cell r="A9" t="str">
            <v>SI1614_20260622</v>
          </cell>
          <cell r="B9" t="str">
            <v>장세래</v>
          </cell>
          <cell r="C9">
            <v>46195</v>
          </cell>
          <cell r="D9" t="str">
            <v>설화수 진설명작크림 60ML (26AD 내캡</v>
          </cell>
          <cell r="E9" t="str">
            <v>키잡이</v>
          </cell>
          <cell r="F9">
            <v>82.33</v>
          </cell>
          <cell r="G9">
            <v>82.31</v>
          </cell>
          <cell r="N9" t="str">
            <v>언더컷</v>
          </cell>
          <cell r="O9">
            <v>81.260000000000005</v>
          </cell>
          <cell r="P9">
            <v>81.239999999999995</v>
          </cell>
          <cell r="W9" t="str">
            <v>언더컷2</v>
          </cell>
          <cell r="X9">
            <v>80.11</v>
          </cell>
          <cell r="Y9">
            <v>80.11</v>
          </cell>
        </row>
        <row r="10">
          <cell r="A10" t="str">
            <v>SI1623_20260619</v>
          </cell>
          <cell r="B10" t="str">
            <v>장세래</v>
          </cell>
          <cell r="C10">
            <v>46192</v>
          </cell>
          <cell r="D10" t="str">
            <v>설화수 진설명작크림 리필 60ML (26AD 단캡</v>
          </cell>
          <cell r="E10" t="str">
            <v>외경</v>
          </cell>
          <cell r="F10">
            <v>77.5</v>
          </cell>
          <cell r="G10">
            <v>77.510000000000005</v>
          </cell>
          <cell r="N10" t="str">
            <v>내경</v>
          </cell>
          <cell r="O10">
            <v>73.48</v>
          </cell>
          <cell r="P10">
            <v>73.510000000000005</v>
          </cell>
          <cell r="W10" t="str">
            <v>A</v>
          </cell>
        </row>
        <row r="11">
          <cell r="A11" t="str">
            <v>SI1615_20260618</v>
          </cell>
          <cell r="B11" t="str">
            <v>장세래</v>
          </cell>
          <cell r="C11">
            <v>46191</v>
          </cell>
          <cell r="D11" t="str">
            <v>설화수 진설명작크림 60ML (26AD 캡장식-하단링</v>
          </cell>
          <cell r="E11" t="str">
            <v>외경</v>
          </cell>
          <cell r="F11">
            <v>84.77</v>
          </cell>
          <cell r="G11">
            <v>84.78</v>
          </cell>
          <cell r="N11" t="str">
            <v>언더컷</v>
          </cell>
          <cell r="O11">
            <v>79.73</v>
          </cell>
          <cell r="P11">
            <v>79.680000000000007</v>
          </cell>
          <cell r="W11">
            <v>0</v>
          </cell>
        </row>
        <row r="12">
          <cell r="A12" t="str">
            <v>SI1616_20260612</v>
          </cell>
          <cell r="B12">
            <v>0</v>
          </cell>
          <cell r="C12">
            <v>46185</v>
          </cell>
          <cell r="D12" t="str">
            <v>설화수 진설명작크림 60ML (26AD 사출덮개</v>
          </cell>
          <cell r="E12" t="str">
            <v>A</v>
          </cell>
          <cell r="F12">
            <v>57.8</v>
          </cell>
          <cell r="G12">
            <v>57.82</v>
          </cell>
          <cell r="N12" t="str">
            <v>외경</v>
          </cell>
          <cell r="O12">
            <v>63.08</v>
          </cell>
          <cell r="P12">
            <v>63.15</v>
          </cell>
          <cell r="W12" t="str">
            <v>내경</v>
          </cell>
          <cell r="X12">
            <v>56.2</v>
          </cell>
          <cell r="Y12">
            <v>56.24</v>
          </cell>
        </row>
        <row r="13">
          <cell r="A13" t="str">
            <v>SI1679_20260611</v>
          </cell>
          <cell r="B13" t="str">
            <v>장세래</v>
          </cell>
          <cell r="C13">
            <v>46184</v>
          </cell>
          <cell r="D13" t="str">
            <v>설화수 진설명작크림 60ML (27 AD)_암호 하케이스 사출</v>
          </cell>
          <cell r="E13" t="str">
            <v>외경</v>
          </cell>
          <cell r="F13">
            <v>114.68</v>
          </cell>
          <cell r="N13" t="str">
            <v>언더컷</v>
          </cell>
          <cell r="O13">
            <v>108.14</v>
          </cell>
          <cell r="W13">
            <v>0</v>
          </cell>
          <cell r="X13">
            <v>108.03</v>
          </cell>
        </row>
        <row r="14">
          <cell r="A14" t="str">
            <v>SI1678_20260611</v>
          </cell>
          <cell r="B14" t="str">
            <v>장세래</v>
          </cell>
          <cell r="C14">
            <v>46184</v>
          </cell>
          <cell r="D14" t="str">
            <v>설화수 진설명작크림 60ML (27 AD)_암호 상케이스 사출</v>
          </cell>
          <cell r="E14" t="str">
            <v>외경</v>
          </cell>
          <cell r="F14">
            <v>110.77</v>
          </cell>
          <cell r="N14" t="str">
            <v>언더컷</v>
          </cell>
          <cell r="O14">
            <v>109.5</v>
          </cell>
          <cell r="W14" t="str">
            <v>외고</v>
          </cell>
          <cell r="X14">
            <v>11.84</v>
          </cell>
        </row>
        <row r="15">
          <cell r="A15" t="str">
            <v>SI1618_20260610</v>
          </cell>
          <cell r="B15" t="str">
            <v>장세래</v>
          </cell>
          <cell r="C15">
            <v>46183</v>
          </cell>
          <cell r="D15" t="str">
            <v>설화수 진설명작크림 60ML (26AD 내용기</v>
          </cell>
          <cell r="E15" t="str">
            <v>언더컷</v>
          </cell>
          <cell r="F15">
            <v>62</v>
          </cell>
          <cell r="G15">
            <v>62</v>
          </cell>
          <cell r="N15" t="str">
            <v>언더컷2</v>
          </cell>
          <cell r="O15">
            <v>73.349999999999994</v>
          </cell>
          <cell r="P15">
            <v>73.36</v>
          </cell>
          <cell r="W15" t="str">
            <v>내경</v>
          </cell>
          <cell r="X15">
            <v>63.75</v>
          </cell>
          <cell r="Y15">
            <v>63.75</v>
          </cell>
        </row>
        <row r="16">
          <cell r="A16" t="str">
            <v>SI1619_20260610</v>
          </cell>
          <cell r="B16" t="str">
            <v>장세래</v>
          </cell>
          <cell r="C16">
            <v>46183</v>
          </cell>
          <cell r="D16" t="str">
            <v>설화수 진설명작크림 60ML (26AD 외용기</v>
          </cell>
          <cell r="E16" t="str">
            <v>나사경</v>
          </cell>
          <cell r="F16">
            <v>76.510000000000005</v>
          </cell>
          <cell r="G16">
            <v>76.540000000000006</v>
          </cell>
          <cell r="N16" t="str">
            <v>언더컷B</v>
          </cell>
          <cell r="O16">
            <v>71.89</v>
          </cell>
          <cell r="P16">
            <v>71.849999999999994</v>
          </cell>
          <cell r="W16" t="str">
            <v>언더컷</v>
          </cell>
          <cell r="X16">
            <v>73.12</v>
          </cell>
          <cell r="Y16">
            <v>73.03</v>
          </cell>
        </row>
        <row r="17">
          <cell r="A17" t="str">
            <v>SI1621_20260609</v>
          </cell>
          <cell r="B17" t="str">
            <v>유재호</v>
          </cell>
          <cell r="C17">
            <v>46182</v>
          </cell>
          <cell r="D17" t="str">
            <v>설화수 진설명작크림 60ML (26AD 숄더장식 사출</v>
          </cell>
          <cell r="E17" t="str">
            <v>외경</v>
          </cell>
          <cell r="F17">
            <v>93.99</v>
          </cell>
          <cell r="G17">
            <v>93.99</v>
          </cell>
          <cell r="N17" t="str">
            <v>내경</v>
          </cell>
          <cell r="O17">
            <v>73.349999999999994</v>
          </cell>
          <cell r="P17">
            <v>73.34</v>
          </cell>
          <cell r="W17" t="str">
            <v>언더컷</v>
          </cell>
          <cell r="X17">
            <v>72.430000000000007</v>
          </cell>
          <cell r="Y17">
            <v>72.430000000000007</v>
          </cell>
        </row>
        <row r="18">
          <cell r="A18" t="str">
            <v>SI1620_20260609</v>
          </cell>
          <cell r="B18" t="str">
            <v>유재호</v>
          </cell>
          <cell r="C18">
            <v>46182</v>
          </cell>
          <cell r="D18" t="str">
            <v>설화수 진설명작크림 60ML (26AD 용기받침 사출</v>
          </cell>
          <cell r="E18" t="str">
            <v>외경</v>
          </cell>
          <cell r="F18">
            <v>90.41</v>
          </cell>
          <cell r="G18">
            <v>90.4</v>
          </cell>
          <cell r="N18" t="str">
            <v>언더컷</v>
          </cell>
          <cell r="O18">
            <v>76.22</v>
          </cell>
          <cell r="P18">
            <v>76.209999999999994</v>
          </cell>
          <cell r="W18">
            <v>0</v>
          </cell>
        </row>
        <row r="19">
          <cell r="A19" t="str">
            <v>SI1617_20260609</v>
          </cell>
          <cell r="B19" t="str">
            <v>유재호</v>
          </cell>
          <cell r="C19">
            <v>46182</v>
          </cell>
          <cell r="D19" t="str">
            <v>설화수 진설명작크림 60ML (26AD 중용기</v>
          </cell>
          <cell r="E19" t="str">
            <v>외경</v>
          </cell>
          <cell r="F19">
            <v>64.489999999999995</v>
          </cell>
          <cell r="G19">
            <v>64.540000000000006</v>
          </cell>
          <cell r="N19" t="str">
            <v>내경</v>
          </cell>
          <cell r="O19">
            <v>61.58</v>
          </cell>
          <cell r="P19">
            <v>61.63</v>
          </cell>
          <cell r="W19" t="str">
            <v>언더컷</v>
          </cell>
        </row>
        <row r="20">
          <cell r="A20" t="str">
            <v>SI1619_20260608</v>
          </cell>
          <cell r="B20" t="str">
            <v>한창구</v>
          </cell>
          <cell r="C20">
            <v>46181</v>
          </cell>
          <cell r="D20" t="str">
            <v>설화수 진설명작크림 60ML (26AD 외용기</v>
          </cell>
          <cell r="E20" t="str">
            <v>나사경</v>
          </cell>
          <cell r="F20">
            <v>76.39</v>
          </cell>
          <cell r="G20">
            <v>76.400000000000006</v>
          </cell>
          <cell r="N20" t="str">
            <v>언더컷B</v>
          </cell>
          <cell r="O20">
            <v>71.77</v>
          </cell>
          <cell r="P20">
            <v>71.75</v>
          </cell>
          <cell r="W20" t="str">
            <v>언더컷</v>
          </cell>
          <cell r="X20">
            <v>73.010000000000005</v>
          </cell>
          <cell r="Y20">
            <v>73.010000000000005</v>
          </cell>
        </row>
        <row r="21">
          <cell r="A21" t="str">
            <v>SI1674_20260414</v>
          </cell>
          <cell r="B21" t="str">
            <v>장세래</v>
          </cell>
          <cell r="C21">
            <v>46126</v>
          </cell>
          <cell r="D21" t="str">
            <v>미니슬림쿠션 접시 사출</v>
          </cell>
          <cell r="E21" t="str">
            <v>외경</v>
          </cell>
          <cell r="F21">
            <v>53.25</v>
          </cell>
          <cell r="N21" t="str">
            <v>언더컷</v>
          </cell>
          <cell r="O21">
            <v>52.4</v>
          </cell>
          <cell r="W21" t="str">
            <v>외고</v>
          </cell>
          <cell r="X21">
            <v>7.56</v>
          </cell>
        </row>
        <row r="22">
          <cell r="A22" t="str">
            <v>SI1675_20260414</v>
          </cell>
          <cell r="B22" t="str">
            <v>장세래</v>
          </cell>
          <cell r="C22">
            <v>46126</v>
          </cell>
          <cell r="D22" t="str">
            <v>미니슬림쿠션 중용기 덮개 사출</v>
          </cell>
          <cell r="E22" t="str">
            <v>외경</v>
          </cell>
          <cell r="F22">
            <v>54.54</v>
          </cell>
          <cell r="N22" t="str">
            <v>리브</v>
          </cell>
          <cell r="O22">
            <v>48.69</v>
          </cell>
          <cell r="W22" t="str">
            <v>외고</v>
          </cell>
          <cell r="X22">
            <v>6.11</v>
          </cell>
        </row>
        <row r="23">
          <cell r="A23" t="str">
            <v>SI1676_20260414</v>
          </cell>
          <cell r="B23" t="str">
            <v>장세래</v>
          </cell>
          <cell r="C23">
            <v>46126</v>
          </cell>
          <cell r="D23" t="str">
            <v>미니슬림쿠션 중용기 사출</v>
          </cell>
          <cell r="E23" t="str">
            <v>외경</v>
          </cell>
          <cell r="F23">
            <v>61.34</v>
          </cell>
          <cell r="N23" t="str">
            <v>리브</v>
          </cell>
          <cell r="O23">
            <v>54.84</v>
          </cell>
          <cell r="W23" t="str">
            <v>외고</v>
          </cell>
          <cell r="X23">
            <v>6.85</v>
          </cell>
        </row>
        <row r="24">
          <cell r="A24" t="str">
            <v>SI1673_20260413</v>
          </cell>
          <cell r="B24" t="str">
            <v>장세래</v>
          </cell>
          <cell r="C24">
            <v>46125</v>
          </cell>
          <cell r="D24" t="str">
            <v>미니슬림쿠션 하케이스 사출</v>
          </cell>
          <cell r="E24" t="str">
            <v>외경</v>
          </cell>
          <cell r="F24">
            <v>65</v>
          </cell>
          <cell r="N24" t="str">
            <v>언더컷</v>
          </cell>
          <cell r="O24">
            <v>54.56</v>
          </cell>
          <cell r="W24" t="str">
            <v>C</v>
          </cell>
        </row>
        <row r="25">
          <cell r="A25" t="str">
            <v>SI1678_20260413</v>
          </cell>
          <cell r="B25" t="str">
            <v>장세래</v>
          </cell>
          <cell r="C25">
            <v>46125</v>
          </cell>
          <cell r="D25" t="str">
            <v>설화수 진설명작크림 60ML (27 AD)_암호 상케이스 사출</v>
          </cell>
          <cell r="E25" t="str">
            <v>외경</v>
          </cell>
          <cell r="F25">
            <v>110.71</v>
          </cell>
          <cell r="N25" t="str">
            <v>언더컷</v>
          </cell>
          <cell r="O25">
            <v>109.51</v>
          </cell>
          <cell r="W25" t="str">
            <v>외고</v>
          </cell>
          <cell r="X25">
            <v>11.72</v>
          </cell>
        </row>
        <row r="26">
          <cell r="A26" t="str">
            <v>SI1679_20260413</v>
          </cell>
          <cell r="B26" t="str">
            <v>장세래</v>
          </cell>
          <cell r="C26">
            <v>46125</v>
          </cell>
          <cell r="D26" t="str">
            <v>설화수 진설명작크림 60ML (27 AD)_암호 하케이스 사출</v>
          </cell>
          <cell r="E26" t="str">
            <v>외경</v>
          </cell>
          <cell r="F26">
            <v>114.82</v>
          </cell>
          <cell r="N26" t="str">
            <v>언더컷</v>
          </cell>
          <cell r="O26">
            <v>108.18</v>
          </cell>
          <cell r="W26">
            <v>0</v>
          </cell>
        </row>
        <row r="27">
          <cell r="A27" t="str">
            <v>SI1668_20260327</v>
          </cell>
          <cell r="B27" t="str">
            <v>장세래</v>
          </cell>
          <cell r="C27">
            <v>46108</v>
          </cell>
          <cell r="D27" t="str">
            <v>마몽드 어메이징딥 민트클렌징밤 90ml(26AD 원터치단캡 사출</v>
          </cell>
          <cell r="E27" t="str">
            <v>내경</v>
          </cell>
          <cell r="F27">
            <v>83.78</v>
          </cell>
          <cell r="G27">
            <v>83.95</v>
          </cell>
          <cell r="H27">
            <v>83.97</v>
          </cell>
          <cell r="I27">
            <v>83.98</v>
          </cell>
          <cell r="N27" t="str">
            <v>나사경</v>
          </cell>
          <cell r="O27">
            <v>81.95</v>
          </cell>
          <cell r="P27">
            <v>82</v>
          </cell>
          <cell r="Q27">
            <v>81.84</v>
          </cell>
          <cell r="R27">
            <v>81.86</v>
          </cell>
          <cell r="W27" t="str">
            <v>언더컷</v>
          </cell>
          <cell r="X27">
            <v>82.71</v>
          </cell>
          <cell r="Y27">
            <v>82.73</v>
          </cell>
          <cell r="Z27">
            <v>82.61</v>
          </cell>
          <cell r="AA27">
            <v>82.61</v>
          </cell>
        </row>
        <row r="28">
          <cell r="A28" t="str">
            <v>SI1669_20260113</v>
          </cell>
          <cell r="B28" t="str">
            <v>남기갑</v>
          </cell>
          <cell r="C28">
            <v>46035</v>
          </cell>
          <cell r="D28" t="str">
            <v>마몽드 어메이징딥 민트클렌징밤 90ml(26AD 스파출러대 사출</v>
          </cell>
          <cell r="E28" t="str">
            <v>내경</v>
          </cell>
          <cell r="F28">
            <v>6.9</v>
          </cell>
          <cell r="G28">
            <v>6.91</v>
          </cell>
          <cell r="H28">
            <v>6.89</v>
          </cell>
          <cell r="I28">
            <v>6.89</v>
          </cell>
          <cell r="N28" t="str">
            <v>외경</v>
          </cell>
          <cell r="O28">
            <v>60.74</v>
          </cell>
          <cell r="P28">
            <v>60.76</v>
          </cell>
          <cell r="Q28">
            <v>60.81</v>
          </cell>
          <cell r="R28">
            <v>60.77</v>
          </cell>
          <cell r="W28">
            <v>0</v>
          </cell>
          <cell r="X28">
            <v>2.56</v>
          </cell>
          <cell r="Y28">
            <v>2.59</v>
          </cell>
          <cell r="Z28">
            <v>2.57</v>
          </cell>
          <cell r="AA28">
            <v>2.59</v>
          </cell>
        </row>
        <row r="29">
          <cell r="A29" t="str">
            <v>SI1606_20250630</v>
          </cell>
          <cell r="B29" t="str">
            <v>유재호</v>
          </cell>
          <cell r="C29">
            <v>45840</v>
          </cell>
          <cell r="D29" t="str">
            <v>(EUSA)라네즈 실키앤스무스 토너 150mL (26 내캡</v>
          </cell>
          <cell r="E29" t="str">
            <v>나사경</v>
          </cell>
          <cell r="F29">
            <v>22.4</v>
          </cell>
          <cell r="G29">
            <v>22.35</v>
          </cell>
          <cell r="H29">
            <v>22.33</v>
          </cell>
          <cell r="I29">
            <v>22.32</v>
          </cell>
          <cell r="J29">
            <v>22.43</v>
          </cell>
          <cell r="K29">
            <v>22.41</v>
          </cell>
          <cell r="L29">
            <v>22.24</v>
          </cell>
          <cell r="M29">
            <v>22.42</v>
          </cell>
          <cell r="N29" t="str">
            <v>언더컷</v>
          </cell>
          <cell r="O29">
            <v>47.97</v>
          </cell>
          <cell r="P29">
            <v>48.02</v>
          </cell>
          <cell r="Q29">
            <v>47.84</v>
          </cell>
          <cell r="R29">
            <v>47.92</v>
          </cell>
          <cell r="S29">
            <v>47.97</v>
          </cell>
          <cell r="T29">
            <v>47.9</v>
          </cell>
          <cell r="U29">
            <v>47.85</v>
          </cell>
          <cell r="V29">
            <v>48.01</v>
          </cell>
          <cell r="W29" t="str">
            <v>외경</v>
          </cell>
          <cell r="X29">
            <v>48.44</v>
          </cell>
          <cell r="Y29">
            <v>48.52</v>
          </cell>
          <cell r="Z29">
            <v>48.42</v>
          </cell>
          <cell r="AA29">
            <v>48.43</v>
          </cell>
          <cell r="AB29">
            <v>48.49</v>
          </cell>
          <cell r="AC29">
            <v>48.42</v>
          </cell>
          <cell r="AD29">
            <v>48.41</v>
          </cell>
          <cell r="AE29">
            <v>48.5</v>
          </cell>
        </row>
        <row r="30">
          <cell r="A30" t="str">
            <v>SI1676_20260403</v>
          </cell>
          <cell r="B30" t="str">
            <v>장세래</v>
          </cell>
          <cell r="C30">
            <v>46115</v>
          </cell>
          <cell r="D30" t="str">
            <v>미니슬림쿠션 중용기 사출</v>
          </cell>
          <cell r="E30" t="str">
            <v>외경</v>
          </cell>
          <cell r="F30">
            <v>61.36</v>
          </cell>
          <cell r="I30">
            <v>61.32</v>
          </cell>
          <cell r="N30" t="str">
            <v>리브</v>
          </cell>
          <cell r="O30">
            <v>54.85</v>
          </cell>
          <cell r="R30">
            <v>54.82</v>
          </cell>
          <cell r="W30" t="str">
            <v>외고</v>
          </cell>
          <cell r="X30">
            <v>6.82</v>
          </cell>
          <cell r="AA30">
            <v>6.84</v>
          </cell>
        </row>
        <row r="31">
          <cell r="A31" t="str">
            <v>SI1673_20260401</v>
          </cell>
          <cell r="B31" t="str">
            <v>장세래</v>
          </cell>
          <cell r="C31">
            <v>46113</v>
          </cell>
          <cell r="D31" t="str">
            <v>미니슬림쿠션 하케이스 사출</v>
          </cell>
          <cell r="E31" t="str">
            <v>외경</v>
          </cell>
          <cell r="F31">
            <v>64.92</v>
          </cell>
          <cell r="H31">
            <v>64.95</v>
          </cell>
          <cell r="N31" t="str">
            <v>외고</v>
          </cell>
          <cell r="O31">
            <v>8.33</v>
          </cell>
          <cell r="Q31">
            <v>8.33</v>
          </cell>
          <cell r="W31" t="str">
            <v>C</v>
          </cell>
          <cell r="X31">
            <v>12.16</v>
          </cell>
          <cell r="Z31">
            <v>12.18</v>
          </cell>
        </row>
        <row r="32">
          <cell r="A32" t="str">
            <v>SI1673_20260330</v>
          </cell>
          <cell r="B32" t="str">
            <v>한창구</v>
          </cell>
          <cell r="C32">
            <v>46111</v>
          </cell>
          <cell r="D32" t="str">
            <v>미니슬림쿠션 하케이스 사출</v>
          </cell>
          <cell r="E32" t="str">
            <v>외경</v>
          </cell>
          <cell r="F32">
            <v>64.930000000000007</v>
          </cell>
          <cell r="H32">
            <v>64.959999999999994</v>
          </cell>
          <cell r="N32" t="str">
            <v>외고</v>
          </cell>
          <cell r="O32">
            <v>8.3699999999999992</v>
          </cell>
          <cell r="Q32">
            <v>8.34</v>
          </cell>
          <cell r="W32" t="str">
            <v>C</v>
          </cell>
          <cell r="X32">
            <v>12.18</v>
          </cell>
          <cell r="Z32">
            <v>12.18</v>
          </cell>
        </row>
        <row r="33">
          <cell r="A33" t="str">
            <v>SI1672_20260330</v>
          </cell>
          <cell r="B33" t="str">
            <v>한창구</v>
          </cell>
          <cell r="C33">
            <v>46111</v>
          </cell>
          <cell r="D33" t="str">
            <v>미니슬림쿠션 상케이스 사출</v>
          </cell>
          <cell r="E33" t="str">
            <v>외경</v>
          </cell>
          <cell r="F33">
            <v>64.989999999999995</v>
          </cell>
          <cell r="H33">
            <v>64.97</v>
          </cell>
          <cell r="N33" t="str">
            <v>외고</v>
          </cell>
          <cell r="O33">
            <v>9.75</v>
          </cell>
          <cell r="Q33">
            <v>9.56</v>
          </cell>
          <cell r="W33" t="str">
            <v>C</v>
          </cell>
          <cell r="X33">
            <v>12.01</v>
          </cell>
          <cell r="Z33">
            <v>12</v>
          </cell>
        </row>
        <row r="34">
          <cell r="A34" t="str">
            <v>SI1621_20260327</v>
          </cell>
          <cell r="B34" t="str">
            <v>한창구</v>
          </cell>
          <cell r="C34">
            <v>46108</v>
          </cell>
          <cell r="D34" t="str">
            <v>설화수 진설명작크림 60ML (26AD 숄더장식 사출</v>
          </cell>
          <cell r="E34" t="str">
            <v>외경</v>
          </cell>
          <cell r="F34">
            <v>94.12</v>
          </cell>
          <cell r="G34">
            <v>94.13</v>
          </cell>
          <cell r="N34" t="str">
            <v>내경</v>
          </cell>
          <cell r="O34">
            <v>73.41</v>
          </cell>
          <cell r="P34">
            <v>73.34</v>
          </cell>
          <cell r="W34" t="str">
            <v>언더컷</v>
          </cell>
          <cell r="X34">
            <v>72.52</v>
          </cell>
          <cell r="Y34">
            <v>72.510000000000005</v>
          </cell>
        </row>
        <row r="35">
          <cell r="A35" t="str">
            <v>SI1617_20260326</v>
          </cell>
          <cell r="B35" t="str">
            <v>한창구</v>
          </cell>
          <cell r="C35">
            <v>46107</v>
          </cell>
          <cell r="D35" t="str">
            <v>설화수 진설명작크림 60ML (26AD 중용기</v>
          </cell>
          <cell r="E35" t="str">
            <v>외경</v>
          </cell>
          <cell r="F35">
            <v>64.64</v>
          </cell>
          <cell r="G35">
            <v>64.62</v>
          </cell>
          <cell r="N35" t="str">
            <v>내경</v>
          </cell>
          <cell r="O35">
            <v>61.62</v>
          </cell>
          <cell r="P35">
            <v>61.64</v>
          </cell>
          <cell r="W35" t="str">
            <v>언더컷</v>
          </cell>
          <cell r="X35">
            <v>61.61</v>
          </cell>
          <cell r="Y35">
            <v>61.64</v>
          </cell>
        </row>
        <row r="36">
          <cell r="A36" t="str">
            <v>SI1674_20260326</v>
          </cell>
          <cell r="B36" t="str">
            <v>장세래</v>
          </cell>
          <cell r="C36">
            <v>46107</v>
          </cell>
          <cell r="D36" t="str">
            <v>미니슬림쿠션 접시 사출</v>
          </cell>
          <cell r="E36" t="str">
            <v>외경</v>
          </cell>
          <cell r="F36">
            <v>53.22</v>
          </cell>
          <cell r="J36">
            <v>53.23</v>
          </cell>
          <cell r="N36" t="str">
            <v>언더컷</v>
          </cell>
          <cell r="O36">
            <v>52.25</v>
          </cell>
          <cell r="S36">
            <v>52.2</v>
          </cell>
          <cell r="W36" t="str">
            <v>내고</v>
          </cell>
          <cell r="X36">
            <v>5.96</v>
          </cell>
          <cell r="AB36">
            <v>5.98</v>
          </cell>
        </row>
        <row r="37">
          <cell r="A37" t="str">
            <v>SI1679_20260325</v>
          </cell>
          <cell r="B37" t="str">
            <v>장세래</v>
          </cell>
          <cell r="C37">
            <v>46106</v>
          </cell>
          <cell r="D37" t="str">
            <v>설화수 진설명작크림 60ML (27 AD)_암호 하케이스 사출</v>
          </cell>
          <cell r="E37" t="str">
            <v>외경</v>
          </cell>
          <cell r="F37">
            <v>114.8</v>
          </cell>
          <cell r="N37" t="str">
            <v>언더컷</v>
          </cell>
          <cell r="O37">
            <v>108.13</v>
          </cell>
          <cell r="W37">
            <v>0</v>
          </cell>
        </row>
        <row r="38">
          <cell r="A38" t="str">
            <v>SI1620_20260326</v>
          </cell>
          <cell r="B38" t="str">
            <v>한창구</v>
          </cell>
          <cell r="C38">
            <v>46107</v>
          </cell>
          <cell r="D38" t="str">
            <v>설화수 진설명작크림 60ML (26AD 용기받침 사출</v>
          </cell>
          <cell r="E38" t="str">
            <v>외경</v>
          </cell>
          <cell r="F38">
            <v>90.44</v>
          </cell>
          <cell r="G38">
            <v>90.45</v>
          </cell>
          <cell r="N38" t="str">
            <v>언더컷</v>
          </cell>
          <cell r="O38">
            <v>76.290000000000006</v>
          </cell>
          <cell r="P38">
            <v>76.27</v>
          </cell>
          <cell r="W38">
            <v>0</v>
          </cell>
        </row>
        <row r="39">
          <cell r="A39" t="str">
            <v>SI1673_20260320</v>
          </cell>
          <cell r="B39" t="str">
            <v>장세래</v>
          </cell>
          <cell r="C39">
            <v>46101</v>
          </cell>
          <cell r="D39" t="str">
            <v>미니슬림쿠션 하케이스 사출</v>
          </cell>
          <cell r="E39" t="str">
            <v>외경</v>
          </cell>
          <cell r="F39">
            <v>64.989999999999995</v>
          </cell>
          <cell r="H39">
            <v>65.02</v>
          </cell>
          <cell r="N39" t="str">
            <v>외고</v>
          </cell>
          <cell r="O39">
            <v>8.34</v>
          </cell>
          <cell r="Q39">
            <v>8.34</v>
          </cell>
          <cell r="W39" t="str">
            <v>C</v>
          </cell>
          <cell r="X39">
            <v>12.19</v>
          </cell>
          <cell r="Z39">
            <v>12.2</v>
          </cell>
        </row>
        <row r="40">
          <cell r="A40" t="str">
            <v>SI1672_20260320</v>
          </cell>
          <cell r="B40" t="str">
            <v>장세래</v>
          </cell>
          <cell r="C40">
            <v>46101</v>
          </cell>
          <cell r="D40" t="str">
            <v>미니슬림쿠션 상케이스 사출</v>
          </cell>
          <cell r="E40" t="str">
            <v>외경</v>
          </cell>
          <cell r="F40">
            <v>65.05</v>
          </cell>
          <cell r="H40">
            <v>65.099999999999994</v>
          </cell>
          <cell r="N40" t="str">
            <v>A</v>
          </cell>
          <cell r="O40">
            <v>9.59</v>
          </cell>
          <cell r="Q40">
            <v>9.6</v>
          </cell>
          <cell r="W40" t="str">
            <v>C</v>
          </cell>
          <cell r="X40">
            <v>12.01</v>
          </cell>
          <cell r="Z40">
            <v>12.02</v>
          </cell>
        </row>
        <row r="41">
          <cell r="A41" t="str">
            <v>SI1674_20260318</v>
          </cell>
          <cell r="B41" t="str">
            <v>장세래</v>
          </cell>
          <cell r="C41">
            <v>46099</v>
          </cell>
          <cell r="D41" t="str">
            <v>미니슬림쿠션 접시 사출</v>
          </cell>
          <cell r="E41" t="str">
            <v>외경</v>
          </cell>
          <cell r="F41">
            <v>53.26</v>
          </cell>
          <cell r="H41">
            <v>53.21</v>
          </cell>
          <cell r="J41">
            <v>53.23</v>
          </cell>
          <cell r="N41" t="str">
            <v>언더컷</v>
          </cell>
          <cell r="O41">
            <v>52.37</v>
          </cell>
          <cell r="Q41">
            <v>52.37</v>
          </cell>
          <cell r="S41">
            <v>52.37</v>
          </cell>
          <cell r="W41" t="str">
            <v>외고</v>
          </cell>
          <cell r="X41">
            <v>7.55</v>
          </cell>
          <cell r="Z41">
            <v>7.56</v>
          </cell>
          <cell r="AB41">
            <v>7.55</v>
          </cell>
        </row>
        <row r="42">
          <cell r="A42" t="str">
            <v>SI1668_20260317</v>
          </cell>
          <cell r="B42" t="str">
            <v>장세래</v>
          </cell>
          <cell r="C42">
            <v>46098</v>
          </cell>
          <cell r="D42" t="str">
            <v>마몽드 어메이징딥 민트클렌징밤 90ml(26AD 원터치단캡 사출</v>
          </cell>
          <cell r="E42" t="str">
            <v>내경</v>
          </cell>
          <cell r="F42">
            <v>83.78</v>
          </cell>
          <cell r="G42">
            <v>82.86</v>
          </cell>
          <cell r="H42">
            <v>83.79</v>
          </cell>
          <cell r="I42">
            <v>83.74</v>
          </cell>
          <cell r="N42" t="str">
            <v>나사경</v>
          </cell>
          <cell r="O42">
            <v>81.849999999999994</v>
          </cell>
          <cell r="P42">
            <v>80.959999999999994</v>
          </cell>
          <cell r="Q42">
            <v>81.8</v>
          </cell>
          <cell r="R42">
            <v>81.7</v>
          </cell>
          <cell r="W42" t="str">
            <v>언더컷</v>
          </cell>
          <cell r="X42">
            <v>82.61</v>
          </cell>
          <cell r="Y42">
            <v>82.2</v>
          </cell>
          <cell r="Z42">
            <v>82.49</v>
          </cell>
          <cell r="AA42">
            <v>82.49</v>
          </cell>
        </row>
        <row r="43">
          <cell r="A43" t="str">
            <v>SI1668_20260311</v>
          </cell>
          <cell r="B43" t="str">
            <v>장세래</v>
          </cell>
          <cell r="C43">
            <v>46092</v>
          </cell>
          <cell r="D43" t="str">
            <v>마몽드 어메이징딥 민트클렌징밤 90ml(26AD 원터치단캡 사출</v>
          </cell>
          <cell r="E43" t="str">
            <v>내경</v>
          </cell>
          <cell r="F43">
            <v>84.12</v>
          </cell>
          <cell r="G43">
            <v>84.01</v>
          </cell>
          <cell r="H43">
            <v>84.08</v>
          </cell>
          <cell r="I43">
            <v>84.05</v>
          </cell>
          <cell r="N43" t="str">
            <v>나사경</v>
          </cell>
          <cell r="O43">
            <v>82.14</v>
          </cell>
          <cell r="P43">
            <v>81.86</v>
          </cell>
          <cell r="Q43">
            <v>81.87</v>
          </cell>
          <cell r="R43">
            <v>81.96</v>
          </cell>
          <cell r="W43" t="str">
            <v>언더컷</v>
          </cell>
          <cell r="X43">
            <v>82.6</v>
          </cell>
          <cell r="Y43">
            <v>82.64</v>
          </cell>
          <cell r="Z43">
            <v>82.58</v>
          </cell>
          <cell r="AA43">
            <v>82.61</v>
          </cell>
        </row>
        <row r="44">
          <cell r="A44" t="str">
            <v>SI1632_20260310</v>
          </cell>
          <cell r="B44" t="str">
            <v>유재호</v>
          </cell>
          <cell r="C44">
            <v>46091</v>
          </cell>
          <cell r="D44" t="str">
            <v>설화수 진설명작크림 (견) 5ML (AD 단용기</v>
          </cell>
          <cell r="E44" t="str">
            <v>나사경</v>
          </cell>
          <cell r="F44">
            <v>36.01</v>
          </cell>
          <cell r="G44">
            <v>36.020000000000003</v>
          </cell>
          <cell r="H44">
            <v>36.04</v>
          </cell>
          <cell r="I44">
            <v>36</v>
          </cell>
          <cell r="N44" t="str">
            <v>외경</v>
          </cell>
          <cell r="O44">
            <v>36.159999999999997</v>
          </cell>
          <cell r="P44">
            <v>36.17</v>
          </cell>
          <cell r="Q44">
            <v>36.130000000000003</v>
          </cell>
          <cell r="R44">
            <v>36.14</v>
          </cell>
          <cell r="W44" t="str">
            <v>언더컷</v>
          </cell>
          <cell r="X44">
            <v>34.58</v>
          </cell>
          <cell r="Y44">
            <v>34.65</v>
          </cell>
          <cell r="Z44">
            <v>34.630000000000003</v>
          </cell>
          <cell r="AA44">
            <v>34.590000000000003</v>
          </cell>
        </row>
        <row r="45">
          <cell r="A45" t="str">
            <v>SI1671_20260311</v>
          </cell>
          <cell r="B45" t="str">
            <v>한창구</v>
          </cell>
          <cell r="C45">
            <v>46092</v>
          </cell>
          <cell r="D45" t="str">
            <v>마몽드 어메이징딥 민트클렌징밤 90ml(26AD 단용기 사출</v>
          </cell>
          <cell r="E45" t="str">
            <v>외경</v>
          </cell>
          <cell r="F45">
            <v>87.79</v>
          </cell>
          <cell r="G45">
            <v>87.79</v>
          </cell>
          <cell r="H45">
            <v>87.84</v>
          </cell>
          <cell r="I45">
            <v>87.85</v>
          </cell>
          <cell r="N45" t="str">
            <v>나사경</v>
          </cell>
          <cell r="O45">
            <v>83.1</v>
          </cell>
          <cell r="P45">
            <v>83.02</v>
          </cell>
          <cell r="Q45">
            <v>83</v>
          </cell>
          <cell r="R45">
            <v>83.06</v>
          </cell>
          <cell r="W45" t="str">
            <v>외고</v>
          </cell>
          <cell r="X45">
            <v>36.130000000000003</v>
          </cell>
          <cell r="Y45">
            <v>36.119999999999997</v>
          </cell>
          <cell r="Z45">
            <v>36.159999999999997</v>
          </cell>
          <cell r="AA45">
            <v>36.11</v>
          </cell>
        </row>
        <row r="46">
          <cell r="A46" t="str">
            <v>SI1671_20260306</v>
          </cell>
          <cell r="B46" t="str">
            <v>장세래</v>
          </cell>
          <cell r="C46">
            <v>46087</v>
          </cell>
          <cell r="D46" t="str">
            <v>마몽드 어메이징딥 민트클렌징밤 90ml(26AD 단용기 사출</v>
          </cell>
          <cell r="E46" t="str">
            <v>외경</v>
          </cell>
          <cell r="F46">
            <v>87.97</v>
          </cell>
          <cell r="G46">
            <v>87.96</v>
          </cell>
          <cell r="H46">
            <v>88</v>
          </cell>
          <cell r="I46">
            <v>88.02</v>
          </cell>
          <cell r="N46" t="str">
            <v>나사경</v>
          </cell>
          <cell r="O46">
            <v>83.21</v>
          </cell>
          <cell r="P46">
            <v>83.2</v>
          </cell>
          <cell r="Q46">
            <v>83.16</v>
          </cell>
          <cell r="R46">
            <v>83.24</v>
          </cell>
          <cell r="W46" t="str">
            <v>외고</v>
          </cell>
          <cell r="X46">
            <v>36.020000000000003</v>
          </cell>
          <cell r="Y46">
            <v>36.06</v>
          </cell>
          <cell r="Z46">
            <v>36.01</v>
          </cell>
          <cell r="AA46">
            <v>36.01</v>
          </cell>
        </row>
        <row r="47">
          <cell r="A47" t="str">
            <v>SI1668_20260306</v>
          </cell>
          <cell r="B47" t="str">
            <v>장세래</v>
          </cell>
          <cell r="C47">
            <v>46087</v>
          </cell>
          <cell r="D47" t="str">
            <v>마몽드 어메이징딥 민트클렌징밤 90ml(26AD 원터치단캡 사출</v>
          </cell>
          <cell r="E47" t="str">
            <v>내경</v>
          </cell>
          <cell r="F47">
            <v>83.73</v>
          </cell>
          <cell r="G47">
            <v>83.68</v>
          </cell>
          <cell r="H47">
            <v>83.75</v>
          </cell>
          <cell r="I47">
            <v>83.78</v>
          </cell>
          <cell r="N47" t="str">
            <v>나사경</v>
          </cell>
          <cell r="O47">
            <v>81.62</v>
          </cell>
          <cell r="P47">
            <v>81.58</v>
          </cell>
          <cell r="Q47">
            <v>81.73</v>
          </cell>
          <cell r="R47">
            <v>81.75</v>
          </cell>
          <cell r="W47" t="str">
            <v>언더컷</v>
          </cell>
          <cell r="X47">
            <v>82.28</v>
          </cell>
          <cell r="Y47">
            <v>82.29</v>
          </cell>
          <cell r="Z47">
            <v>82.28</v>
          </cell>
          <cell r="AA47">
            <v>82.28</v>
          </cell>
        </row>
        <row r="48">
          <cell r="A48" t="str">
            <v>SI1674_20260305</v>
          </cell>
          <cell r="B48" t="str">
            <v>장세래</v>
          </cell>
          <cell r="C48">
            <v>46086</v>
          </cell>
          <cell r="D48" t="str">
            <v>미니슬림쿠션 접시 사출</v>
          </cell>
          <cell r="E48" t="str">
            <v>외경</v>
          </cell>
          <cell r="F48">
            <v>53.26</v>
          </cell>
          <cell r="N48" t="str">
            <v>언더컷</v>
          </cell>
          <cell r="O48">
            <v>52.43</v>
          </cell>
          <cell r="W48" t="str">
            <v>내고</v>
          </cell>
          <cell r="X48">
            <v>6.01</v>
          </cell>
        </row>
        <row r="49">
          <cell r="A49" t="str">
            <v>SI1675_20260305</v>
          </cell>
          <cell r="B49" t="str">
            <v>장세래</v>
          </cell>
          <cell r="C49">
            <v>46086</v>
          </cell>
          <cell r="D49" t="str">
            <v>미니슬림쿠션 중용기 덮개 사출</v>
          </cell>
          <cell r="E49" t="str">
            <v>외경</v>
          </cell>
          <cell r="F49">
            <v>54.54</v>
          </cell>
          <cell r="N49" t="str">
            <v>리브</v>
          </cell>
          <cell r="O49">
            <v>48.7</v>
          </cell>
          <cell r="W49" t="str">
            <v>외고</v>
          </cell>
          <cell r="X49">
            <v>6.12</v>
          </cell>
        </row>
        <row r="50">
          <cell r="A50" t="str">
            <v>SI1676_20260305</v>
          </cell>
          <cell r="B50" t="str">
            <v>장세래</v>
          </cell>
          <cell r="C50">
            <v>46086</v>
          </cell>
          <cell r="D50" t="str">
            <v>미니슬림쿠션 중용기 사출</v>
          </cell>
          <cell r="E50" t="str">
            <v>외경</v>
          </cell>
          <cell r="F50">
            <v>61.35</v>
          </cell>
          <cell r="N50" t="str">
            <v>리브</v>
          </cell>
          <cell r="O50">
            <v>54.74</v>
          </cell>
          <cell r="W50" t="str">
            <v>외고</v>
          </cell>
          <cell r="X50">
            <v>6.8</v>
          </cell>
        </row>
        <row r="51">
          <cell r="A51" t="str">
            <v>SI1673_20260304</v>
          </cell>
          <cell r="B51" t="str">
            <v>장세래</v>
          </cell>
          <cell r="C51">
            <v>46085</v>
          </cell>
          <cell r="D51" t="str">
            <v>미니슬림쿠션 하케이스 사출</v>
          </cell>
          <cell r="E51" t="str">
            <v>외경</v>
          </cell>
          <cell r="F51">
            <v>64.94</v>
          </cell>
          <cell r="N51" t="str">
            <v>A</v>
          </cell>
          <cell r="W51" t="str">
            <v>C</v>
          </cell>
          <cell r="X51">
            <v>12.17</v>
          </cell>
        </row>
        <row r="52">
          <cell r="A52" t="str">
            <v>SI1672_20260304</v>
          </cell>
          <cell r="B52" t="str">
            <v>장세래</v>
          </cell>
          <cell r="C52">
            <v>46085</v>
          </cell>
          <cell r="D52" t="str">
            <v>미니슬림쿠션 상케이스 사출</v>
          </cell>
          <cell r="E52" t="str">
            <v>외경</v>
          </cell>
          <cell r="F52">
            <v>64.959999999999994</v>
          </cell>
          <cell r="N52" t="str">
            <v>A</v>
          </cell>
          <cell r="W52" t="str">
            <v>C</v>
          </cell>
          <cell r="X52">
            <v>12.01</v>
          </cell>
        </row>
        <row r="53">
          <cell r="A53" t="str">
            <v>SI1679_20260304</v>
          </cell>
          <cell r="B53" t="str">
            <v>장세래</v>
          </cell>
          <cell r="C53">
            <v>46085</v>
          </cell>
          <cell r="D53" t="str">
            <v>설화수 진설명작크림 60ML (27 AD)_암호 하케이스 사출</v>
          </cell>
          <cell r="E53" t="str">
            <v>외경</v>
          </cell>
          <cell r="F53">
            <v>114.77</v>
          </cell>
          <cell r="N53" t="str">
            <v>언더컷</v>
          </cell>
          <cell r="O53">
            <v>108.26</v>
          </cell>
          <cell r="W53">
            <v>0</v>
          </cell>
        </row>
        <row r="54">
          <cell r="A54" t="str">
            <v>SI1678_20260225</v>
          </cell>
          <cell r="B54" t="str">
            <v>장세래</v>
          </cell>
          <cell r="C54">
            <v>46078</v>
          </cell>
          <cell r="D54" t="str">
            <v>설화수 진설명작크림 60ML (27 AD)_암호 상케이스 사출</v>
          </cell>
          <cell r="E54" t="str">
            <v>외경</v>
          </cell>
          <cell r="F54">
            <v>110.61</v>
          </cell>
          <cell r="N54" t="str">
            <v>언더컷</v>
          </cell>
          <cell r="O54">
            <v>109.51</v>
          </cell>
          <cell r="W54" t="str">
            <v>외고</v>
          </cell>
          <cell r="X54">
            <v>11.72</v>
          </cell>
        </row>
        <row r="55">
          <cell r="A55" t="str">
            <v>SI1616_20260225</v>
          </cell>
          <cell r="B55">
            <v>0</v>
          </cell>
          <cell r="C55">
            <v>46078</v>
          </cell>
          <cell r="D55" t="str">
            <v>설화수 진설명작크림 60ML (26AD 사출덮개</v>
          </cell>
          <cell r="E55" t="str">
            <v>A</v>
          </cell>
          <cell r="F55">
            <v>57.83</v>
          </cell>
          <cell r="G55">
            <v>57.9</v>
          </cell>
          <cell r="N55" t="str">
            <v>외경</v>
          </cell>
          <cell r="O55">
            <v>63.14</v>
          </cell>
          <cell r="P55">
            <v>63.2</v>
          </cell>
          <cell r="W55" t="str">
            <v>내경</v>
          </cell>
        </row>
        <row r="56">
          <cell r="A56" t="str">
            <v>SI1633_20260220</v>
          </cell>
          <cell r="B56" t="str">
            <v>한창구</v>
          </cell>
          <cell r="C56">
            <v>46073</v>
          </cell>
          <cell r="D56" t="str">
            <v>설화수 진설명작크림 (견) 5ML (AD 용기받침</v>
          </cell>
          <cell r="E56" t="str">
            <v>언더컷</v>
          </cell>
          <cell r="F56">
            <v>33.71</v>
          </cell>
          <cell r="G56">
            <v>33.74</v>
          </cell>
          <cell r="H56">
            <v>33.729999999999997</v>
          </cell>
          <cell r="I56">
            <v>33.74</v>
          </cell>
          <cell r="N56" t="str">
            <v>키잡이</v>
          </cell>
          <cell r="O56">
            <v>35.28</v>
          </cell>
          <cell r="P56">
            <v>35.270000000000003</v>
          </cell>
          <cell r="Q56">
            <v>35.29</v>
          </cell>
          <cell r="R56">
            <v>35.270000000000003</v>
          </cell>
          <cell r="W56" t="str">
            <v>외경</v>
          </cell>
          <cell r="X56">
            <v>48.09</v>
          </cell>
          <cell r="Y56">
            <v>48.08</v>
          </cell>
          <cell r="Z56">
            <v>48.08</v>
          </cell>
          <cell r="AA56">
            <v>48.09</v>
          </cell>
        </row>
        <row r="57">
          <cell r="A57" t="str">
            <v>SI1674_20260213</v>
          </cell>
          <cell r="B57" t="str">
            <v>장세래</v>
          </cell>
          <cell r="C57">
            <v>46066</v>
          </cell>
          <cell r="D57" t="str">
            <v>미니슬림쿠션 접시 사출</v>
          </cell>
          <cell r="E57" t="str">
            <v>외경</v>
          </cell>
          <cell r="F57">
            <v>53.17</v>
          </cell>
          <cell r="G57">
            <v>53.2</v>
          </cell>
          <cell r="N57" t="str">
            <v>언더컷</v>
          </cell>
          <cell r="O57">
            <v>52.46</v>
          </cell>
          <cell r="P57">
            <v>52.49</v>
          </cell>
          <cell r="W57" t="str">
            <v>내고</v>
          </cell>
          <cell r="X57">
            <v>6</v>
          </cell>
          <cell r="Y57">
            <v>6</v>
          </cell>
        </row>
        <row r="58">
          <cell r="A58" t="str">
            <v>SI1668_20260210</v>
          </cell>
          <cell r="B58" t="str">
            <v>장세래</v>
          </cell>
          <cell r="C58">
            <v>46063</v>
          </cell>
          <cell r="D58" t="str">
            <v>마몽드 어메이징딥 민트클렌징밤 90ml(26AD 원터치단캡 사출</v>
          </cell>
          <cell r="E58" t="str">
            <v>내경</v>
          </cell>
          <cell r="F58">
            <v>83.86</v>
          </cell>
          <cell r="G58">
            <v>83.96</v>
          </cell>
          <cell r="H58">
            <v>83.83</v>
          </cell>
          <cell r="I58">
            <v>83.73</v>
          </cell>
          <cell r="N58" t="str">
            <v>나사경</v>
          </cell>
          <cell r="O58">
            <v>82</v>
          </cell>
          <cell r="P58">
            <v>82.02</v>
          </cell>
          <cell r="Q58">
            <v>81.95</v>
          </cell>
          <cell r="R58">
            <v>81.790000000000006</v>
          </cell>
          <cell r="W58" t="str">
            <v>언더컷</v>
          </cell>
          <cell r="X58">
            <v>82.31</v>
          </cell>
          <cell r="Y58">
            <v>82.37</v>
          </cell>
          <cell r="Z58">
            <v>82.43</v>
          </cell>
          <cell r="AA58">
            <v>82.3</v>
          </cell>
        </row>
        <row r="59">
          <cell r="A59" t="str">
            <v>SI1676_20260210</v>
          </cell>
          <cell r="B59" t="str">
            <v>_19000100</v>
          </cell>
          <cell r="C59">
            <v>46063</v>
          </cell>
          <cell r="D59" t="str">
            <v>미니슬림쿠션 중용기 사출</v>
          </cell>
          <cell r="E59" t="str">
            <v>외경</v>
          </cell>
          <cell r="F59">
            <v>61.25</v>
          </cell>
          <cell r="G59">
            <v>61.3</v>
          </cell>
          <cell r="N59" t="str">
            <v>리브</v>
          </cell>
          <cell r="O59">
            <v>54.72</v>
          </cell>
          <cell r="P59">
            <v>54.74</v>
          </cell>
          <cell r="W59" t="str">
            <v>외고</v>
          </cell>
          <cell r="X59">
            <v>6.8</v>
          </cell>
          <cell r="Y59">
            <v>6.83</v>
          </cell>
        </row>
        <row r="60">
          <cell r="A60" t="str">
            <v>SI1616_20260209</v>
          </cell>
          <cell r="B60" t="str">
            <v>_19000100</v>
          </cell>
          <cell r="C60">
            <v>46062</v>
          </cell>
          <cell r="D60" t="str">
            <v>설화수 진설명작크림 60ML (26AD 사출덮개</v>
          </cell>
          <cell r="E60" t="str">
            <v>A</v>
          </cell>
          <cell r="F60">
            <v>57.92</v>
          </cell>
          <cell r="G60">
            <v>57.85</v>
          </cell>
          <cell r="N60" t="str">
            <v>외경</v>
          </cell>
          <cell r="O60">
            <v>63.19</v>
          </cell>
          <cell r="P60">
            <v>63.15</v>
          </cell>
          <cell r="W60" t="str">
            <v>내경</v>
          </cell>
        </row>
        <row r="61">
          <cell r="A61" t="str">
            <v>SI1629_20260209</v>
          </cell>
          <cell r="B61" t="str">
            <v>_19000100</v>
          </cell>
          <cell r="C61">
            <v>46062</v>
          </cell>
          <cell r="D61" t="str">
            <v>설화수 진설명작크림 (견) 10ML (AD 사출덮개</v>
          </cell>
          <cell r="E61" t="str">
            <v>내경</v>
          </cell>
          <cell r="F61">
            <v>34.799999999999997</v>
          </cell>
          <cell r="G61">
            <v>34.81</v>
          </cell>
          <cell r="H61">
            <v>34.83</v>
          </cell>
          <cell r="I61">
            <v>34.81</v>
          </cell>
          <cell r="N61" t="str">
            <v>외경</v>
          </cell>
          <cell r="O61">
            <v>37.49</v>
          </cell>
          <cell r="P61">
            <v>37.5</v>
          </cell>
          <cell r="Q61">
            <v>37.51</v>
          </cell>
          <cell r="R61">
            <v>37.5</v>
          </cell>
          <cell r="W61" t="str">
            <v>외고</v>
          </cell>
          <cell r="X61">
            <v>1.04</v>
          </cell>
          <cell r="Y61">
            <v>1.02</v>
          </cell>
          <cell r="Z61">
            <v>1.03</v>
          </cell>
          <cell r="AA61">
            <v>1.04</v>
          </cell>
        </row>
        <row r="62">
          <cell r="A62" t="str">
            <v>SI1634_20260209</v>
          </cell>
          <cell r="B62" t="str">
            <v>_19000100</v>
          </cell>
          <cell r="C62">
            <v>46062</v>
          </cell>
          <cell r="D62" t="str">
            <v>설화수 진설명작크림 (견) 5ML (AD 사출덮개</v>
          </cell>
          <cell r="E62" t="str">
            <v>내경</v>
          </cell>
          <cell r="F62">
            <v>24.41</v>
          </cell>
          <cell r="G62">
            <v>24.42</v>
          </cell>
          <cell r="H62">
            <v>24.4</v>
          </cell>
          <cell r="I62">
            <v>24.41</v>
          </cell>
          <cell r="N62" t="str">
            <v>외경</v>
          </cell>
          <cell r="O62">
            <v>27.13</v>
          </cell>
          <cell r="P62">
            <v>27.12</v>
          </cell>
          <cell r="Q62">
            <v>27.08</v>
          </cell>
          <cell r="R62">
            <v>27.08</v>
          </cell>
          <cell r="W62" t="str">
            <v>외고</v>
          </cell>
          <cell r="X62">
            <v>1.01</v>
          </cell>
          <cell r="Y62">
            <v>1.01</v>
          </cell>
          <cell r="Z62">
            <v>1</v>
          </cell>
          <cell r="AA62">
            <v>1.02</v>
          </cell>
        </row>
        <row r="63">
          <cell r="A63" t="str">
            <v>SI1667_20260206</v>
          </cell>
          <cell r="B63" t="str">
            <v>_19000100</v>
          </cell>
          <cell r="C63">
            <v>46059</v>
          </cell>
          <cell r="D63" t="str">
            <v>오딧세이 로맨틱더클래식 스킨리파이너130ML(26EC(착인 내캡</v>
          </cell>
          <cell r="F63">
            <v>29.71</v>
          </cell>
          <cell r="G63">
            <v>29.7</v>
          </cell>
          <cell r="H63">
            <v>29.7</v>
          </cell>
          <cell r="I63">
            <v>29.68</v>
          </cell>
          <cell r="J63">
            <v>29.75</v>
          </cell>
          <cell r="K63">
            <v>29.73</v>
          </cell>
          <cell r="L63">
            <v>29.75</v>
          </cell>
          <cell r="M63">
            <v>29.73</v>
          </cell>
          <cell r="O63">
            <v>61.66</v>
          </cell>
          <cell r="P63">
            <v>61.82</v>
          </cell>
          <cell r="Q63">
            <v>61.68</v>
          </cell>
          <cell r="R63">
            <v>61.8</v>
          </cell>
          <cell r="S63">
            <v>61.77</v>
          </cell>
          <cell r="T63">
            <v>61.83</v>
          </cell>
          <cell r="U63">
            <v>61.91</v>
          </cell>
          <cell r="V63">
            <v>61.96</v>
          </cell>
        </row>
        <row r="64">
          <cell r="A64" t="str">
            <v>SI1674_20260204</v>
          </cell>
          <cell r="B64" t="str">
            <v>_19000100</v>
          </cell>
          <cell r="C64">
            <v>46057</v>
          </cell>
          <cell r="D64" t="str">
            <v>미니슬림쿠션 접시 사출</v>
          </cell>
          <cell r="E64" t="str">
            <v>외경</v>
          </cell>
          <cell r="F64">
            <v>53.12</v>
          </cell>
          <cell r="G64">
            <v>53.14</v>
          </cell>
          <cell r="N64" t="str">
            <v>언더컷</v>
          </cell>
          <cell r="O64">
            <v>52.49</v>
          </cell>
          <cell r="P64">
            <v>52.53</v>
          </cell>
          <cell r="W64" t="str">
            <v>내고</v>
          </cell>
          <cell r="X64">
            <v>5.86</v>
          </cell>
          <cell r="Y64">
            <v>5.85</v>
          </cell>
        </row>
        <row r="65">
          <cell r="A65" t="str">
            <v>SI1676_20260203</v>
          </cell>
          <cell r="B65" t="str">
            <v>장세래</v>
          </cell>
          <cell r="C65">
            <v>46056</v>
          </cell>
          <cell r="D65" t="str">
            <v>미니슬림쿠션 중용기 사출</v>
          </cell>
          <cell r="E65" t="str">
            <v>외경</v>
          </cell>
          <cell r="F65">
            <v>61.29</v>
          </cell>
          <cell r="G65">
            <v>61.33</v>
          </cell>
          <cell r="N65" t="str">
            <v>리브</v>
          </cell>
          <cell r="O65">
            <v>54.7</v>
          </cell>
          <cell r="P65">
            <v>54.73</v>
          </cell>
          <cell r="W65" t="str">
            <v>외고</v>
          </cell>
          <cell r="X65">
            <v>6.8</v>
          </cell>
          <cell r="Y65">
            <v>6.82</v>
          </cell>
        </row>
        <row r="66">
          <cell r="A66" t="str">
            <v>SI1675_20260203</v>
          </cell>
          <cell r="B66" t="str">
            <v>장세래</v>
          </cell>
          <cell r="C66">
            <v>46056</v>
          </cell>
          <cell r="D66" t="str">
            <v>미니슬림쿠션 중용기 덮개 사출</v>
          </cell>
          <cell r="E66" t="str">
            <v>외경</v>
          </cell>
          <cell r="F66">
            <v>54.49</v>
          </cell>
          <cell r="G66">
            <v>54.5</v>
          </cell>
          <cell r="H66">
            <v>54.59</v>
          </cell>
          <cell r="N66" t="str">
            <v>리브</v>
          </cell>
          <cell r="O66">
            <v>48.7</v>
          </cell>
          <cell r="P66">
            <v>48.74</v>
          </cell>
          <cell r="Q66">
            <v>48.75</v>
          </cell>
          <cell r="W66" t="str">
            <v>외고</v>
          </cell>
          <cell r="X66">
            <v>6.11</v>
          </cell>
          <cell r="Y66">
            <v>6.12</v>
          </cell>
          <cell r="Z66">
            <v>6.11</v>
          </cell>
        </row>
        <row r="67">
          <cell r="A67" t="str">
            <v>SI1673_20260202</v>
          </cell>
          <cell r="B67" t="str">
            <v>장세래</v>
          </cell>
          <cell r="C67">
            <v>46055</v>
          </cell>
          <cell r="D67" t="str">
            <v>미니슬림쿠션 하케이스 사출</v>
          </cell>
          <cell r="E67" t="str">
            <v>외경</v>
          </cell>
          <cell r="F67">
            <v>64.959999999999994</v>
          </cell>
          <cell r="N67" t="str">
            <v>A</v>
          </cell>
          <cell r="W67" t="str">
            <v>C</v>
          </cell>
          <cell r="X67">
            <v>12.09</v>
          </cell>
        </row>
        <row r="68">
          <cell r="A68" t="str">
            <v>SI1672_20260202</v>
          </cell>
          <cell r="B68" t="str">
            <v>장세래</v>
          </cell>
          <cell r="C68">
            <v>46055</v>
          </cell>
          <cell r="D68" t="str">
            <v>미니슬림쿠션 상케이스 사출</v>
          </cell>
          <cell r="E68" t="str">
            <v>외경</v>
          </cell>
          <cell r="F68">
            <v>64.97</v>
          </cell>
          <cell r="N68" t="str">
            <v>A</v>
          </cell>
          <cell r="W68" t="str">
            <v>C</v>
          </cell>
          <cell r="X68">
            <v>12.03</v>
          </cell>
        </row>
        <row r="69">
          <cell r="A69" t="str">
            <v>SI1676_20260130</v>
          </cell>
          <cell r="B69" t="str">
            <v>장세래</v>
          </cell>
          <cell r="C69">
            <v>46052</v>
          </cell>
          <cell r="D69" t="str">
            <v>미니슬림쿠션 중용기 사출</v>
          </cell>
          <cell r="E69" t="str">
            <v>외경</v>
          </cell>
          <cell r="F69">
            <v>61.29</v>
          </cell>
          <cell r="G69">
            <v>61.26</v>
          </cell>
          <cell r="H69">
            <v>61.34</v>
          </cell>
          <cell r="N69" t="str">
            <v>리브</v>
          </cell>
          <cell r="O69">
            <v>54.75</v>
          </cell>
          <cell r="P69">
            <v>54.74</v>
          </cell>
          <cell r="Q69">
            <v>54.84</v>
          </cell>
          <cell r="W69" t="str">
            <v>외고</v>
          </cell>
          <cell r="X69">
            <v>6.87</v>
          </cell>
          <cell r="Y69">
            <v>6.84</v>
          </cell>
          <cell r="Z69">
            <v>6.86</v>
          </cell>
        </row>
        <row r="70">
          <cell r="A70" t="str">
            <v>SI1675_20260130</v>
          </cell>
          <cell r="B70" t="str">
            <v>장세래</v>
          </cell>
          <cell r="C70">
            <v>46052</v>
          </cell>
          <cell r="D70" t="str">
            <v>미니슬림쿠션 중용기 덮개 사출</v>
          </cell>
          <cell r="E70" t="str">
            <v>외경</v>
          </cell>
          <cell r="F70">
            <v>54.51</v>
          </cell>
          <cell r="H70">
            <v>54.44</v>
          </cell>
          <cell r="J70">
            <v>54.49</v>
          </cell>
          <cell r="N70" t="str">
            <v>A</v>
          </cell>
          <cell r="O70">
            <v>48.72</v>
          </cell>
          <cell r="Q70">
            <v>48.74</v>
          </cell>
          <cell r="S70">
            <v>48.71</v>
          </cell>
          <cell r="W70" t="str">
            <v>외고</v>
          </cell>
          <cell r="X70">
            <v>6.12</v>
          </cell>
          <cell r="Z70">
            <v>6.1</v>
          </cell>
          <cell r="AB70">
            <v>6.13</v>
          </cell>
        </row>
        <row r="71">
          <cell r="A71" t="str">
            <v>SI1629_20260128</v>
          </cell>
          <cell r="B71" t="str">
            <v>한창구</v>
          </cell>
          <cell r="C71">
            <v>46050</v>
          </cell>
          <cell r="D71" t="str">
            <v>설화수 진설명작크림 (견) 10ML (AD 사출덮개</v>
          </cell>
          <cell r="E71" t="str">
            <v>내경</v>
          </cell>
          <cell r="F71">
            <v>34.81</v>
          </cell>
          <cell r="G71">
            <v>34.81</v>
          </cell>
          <cell r="H71">
            <v>34.82</v>
          </cell>
          <cell r="I71">
            <v>34.81</v>
          </cell>
          <cell r="N71" t="str">
            <v>외경</v>
          </cell>
          <cell r="O71">
            <v>37.51</v>
          </cell>
          <cell r="P71">
            <v>37.49</v>
          </cell>
          <cell r="Q71">
            <v>37.53</v>
          </cell>
          <cell r="R71">
            <v>37.520000000000003</v>
          </cell>
          <cell r="W71" t="str">
            <v>외고</v>
          </cell>
          <cell r="X71">
            <v>1.07</v>
          </cell>
          <cell r="Y71">
            <v>1.04</v>
          </cell>
          <cell r="Z71">
            <v>1.04</v>
          </cell>
          <cell r="AA71">
            <v>1.07</v>
          </cell>
        </row>
        <row r="72">
          <cell r="A72" t="str">
            <v>SI1671_20260126</v>
          </cell>
          <cell r="B72" t="str">
            <v>유재호</v>
          </cell>
          <cell r="C72">
            <v>46048</v>
          </cell>
          <cell r="D72" t="str">
            <v>마몽드 어메이징딥 민트클렌징밤 90ml(26AD 단용기 사출</v>
          </cell>
          <cell r="E72" t="str">
            <v>외경</v>
          </cell>
          <cell r="F72">
            <v>87.91</v>
          </cell>
          <cell r="G72">
            <v>87.92</v>
          </cell>
          <cell r="H72">
            <v>87.94</v>
          </cell>
          <cell r="I72">
            <v>87.96</v>
          </cell>
          <cell r="N72" t="str">
            <v>나사경</v>
          </cell>
          <cell r="O72">
            <v>83.22</v>
          </cell>
          <cell r="P72">
            <v>83.2</v>
          </cell>
          <cell r="Q72">
            <v>83.2</v>
          </cell>
          <cell r="R72">
            <v>83.22</v>
          </cell>
          <cell r="W72">
            <v>0</v>
          </cell>
        </row>
        <row r="73">
          <cell r="A73" t="str">
            <v>SI1673_20260123</v>
          </cell>
          <cell r="B73" t="str">
            <v>장세래</v>
          </cell>
          <cell r="C73">
            <v>46045</v>
          </cell>
          <cell r="D73" t="str">
            <v>미니슬림쿠션 하케이스 사출</v>
          </cell>
          <cell r="E73" t="str">
            <v>외경</v>
          </cell>
          <cell r="F73">
            <v>65.03</v>
          </cell>
          <cell r="N73" t="str">
            <v>A</v>
          </cell>
          <cell r="W73" t="str">
            <v>C</v>
          </cell>
          <cell r="X73">
            <v>12.19</v>
          </cell>
        </row>
        <row r="74">
          <cell r="A74" t="str">
            <v>SI1672_20260123</v>
          </cell>
          <cell r="B74" t="str">
            <v>장세래</v>
          </cell>
          <cell r="C74">
            <v>46045</v>
          </cell>
          <cell r="D74" t="str">
            <v>미니슬림쿠션 상케이스 사출</v>
          </cell>
          <cell r="E74" t="str">
            <v>외경</v>
          </cell>
          <cell r="F74">
            <v>65.040000000000006</v>
          </cell>
          <cell r="N74" t="str">
            <v>A</v>
          </cell>
          <cell r="W74" t="str">
            <v>C</v>
          </cell>
          <cell r="X74">
            <v>12.02</v>
          </cell>
        </row>
        <row r="75">
          <cell r="A75" t="str">
            <v>SI1675_20260123</v>
          </cell>
          <cell r="B75" t="str">
            <v>장세래</v>
          </cell>
          <cell r="C75">
            <v>46045</v>
          </cell>
          <cell r="D75" t="str">
            <v>미니슬림쿠션 중용기 덮개 사출</v>
          </cell>
          <cell r="E75" t="str">
            <v>외경</v>
          </cell>
          <cell r="F75">
            <v>54.49</v>
          </cell>
          <cell r="H75">
            <v>54.51</v>
          </cell>
          <cell r="J75">
            <v>54.57</v>
          </cell>
          <cell r="N75" t="str">
            <v>A</v>
          </cell>
          <cell r="O75">
            <v>48.68</v>
          </cell>
          <cell r="Q75">
            <v>48.73</v>
          </cell>
          <cell r="S75">
            <v>48.77</v>
          </cell>
          <cell r="W75" t="str">
            <v>외고</v>
          </cell>
          <cell r="X75">
            <v>6.09</v>
          </cell>
          <cell r="Z75">
            <v>6.16</v>
          </cell>
          <cell r="AB75">
            <v>6.16</v>
          </cell>
        </row>
        <row r="76">
          <cell r="A76" t="str">
            <v>SI1625_20260123</v>
          </cell>
          <cell r="B76" t="str">
            <v>한창구</v>
          </cell>
          <cell r="C76">
            <v>46045</v>
          </cell>
          <cell r="D76" t="str">
            <v>설화수 진설명작크림 (견) 10ML (AD 외캡</v>
          </cell>
          <cell r="E76" t="str">
            <v>내경</v>
          </cell>
          <cell r="F76">
            <v>51.99</v>
          </cell>
          <cell r="G76">
            <v>51.97</v>
          </cell>
          <cell r="H76">
            <v>51.98</v>
          </cell>
          <cell r="I76">
            <v>51.97</v>
          </cell>
          <cell r="N76" t="str">
            <v>외경</v>
          </cell>
          <cell r="O76">
            <v>58.19</v>
          </cell>
          <cell r="P76">
            <v>58.18</v>
          </cell>
          <cell r="Q76">
            <v>58.19</v>
          </cell>
          <cell r="R76">
            <v>58.18</v>
          </cell>
          <cell r="W76" t="str">
            <v>언더컷</v>
          </cell>
          <cell r="X76">
            <v>50.37</v>
          </cell>
          <cell r="Y76">
            <v>50.34</v>
          </cell>
          <cell r="Z76">
            <v>50.37</v>
          </cell>
          <cell r="AA76">
            <v>50.31</v>
          </cell>
        </row>
        <row r="77">
          <cell r="A77" t="str">
            <v>SI1627_20260120</v>
          </cell>
          <cell r="B77" t="str">
            <v>한창구</v>
          </cell>
          <cell r="C77">
            <v>46042</v>
          </cell>
          <cell r="D77" t="str">
            <v>설화수 진설명작크림 (견) 10ML (AD 용기받침</v>
          </cell>
          <cell r="E77" t="str">
            <v>내경</v>
          </cell>
          <cell r="F77">
            <v>44</v>
          </cell>
          <cell r="G77">
            <v>44.03</v>
          </cell>
          <cell r="H77">
            <v>44.03</v>
          </cell>
          <cell r="I77">
            <v>44.02</v>
          </cell>
          <cell r="N77" t="str">
            <v>언더컷</v>
          </cell>
          <cell r="O77">
            <v>44.14</v>
          </cell>
          <cell r="P77">
            <v>44.16</v>
          </cell>
          <cell r="Q77">
            <v>44.12</v>
          </cell>
          <cell r="R77">
            <v>44.16</v>
          </cell>
          <cell r="W77" t="str">
            <v>외경</v>
          </cell>
          <cell r="X77">
            <v>59.72</v>
          </cell>
          <cell r="Y77">
            <v>59.74</v>
          </cell>
          <cell r="Z77">
            <v>59.75</v>
          </cell>
          <cell r="AA77">
            <v>59.73</v>
          </cell>
        </row>
        <row r="78">
          <cell r="A78" t="str">
            <v>SI1614_20260116</v>
          </cell>
          <cell r="B78" t="str">
            <v>한창구</v>
          </cell>
          <cell r="C78">
            <v>46038</v>
          </cell>
          <cell r="D78" t="str">
            <v>설화수 진설명작크림 60ML (26AD 내캡</v>
          </cell>
          <cell r="E78" t="str">
            <v>키잡이</v>
          </cell>
          <cell r="F78">
            <v>82.4</v>
          </cell>
          <cell r="G78">
            <v>82.27</v>
          </cell>
          <cell r="N78" t="str">
            <v>언더컷</v>
          </cell>
          <cell r="O78">
            <v>81.319999999999993</v>
          </cell>
          <cell r="P78">
            <v>81.36</v>
          </cell>
          <cell r="W78" t="str">
            <v>언더컷2</v>
          </cell>
          <cell r="X78">
            <v>80.16</v>
          </cell>
          <cell r="Y78">
            <v>80.209999999999994</v>
          </cell>
        </row>
        <row r="79">
          <cell r="A79" t="str">
            <v>SI1674_20260113</v>
          </cell>
          <cell r="B79">
            <v>0</v>
          </cell>
          <cell r="C79">
            <v>46035</v>
          </cell>
          <cell r="D79" t="str">
            <v>미니슬림쿠션 접시 사출</v>
          </cell>
          <cell r="E79" t="str">
            <v>외경</v>
          </cell>
          <cell r="F79">
            <v>53.16</v>
          </cell>
          <cell r="N79" t="str">
            <v>언더컷</v>
          </cell>
          <cell r="O79">
            <v>52.53</v>
          </cell>
          <cell r="W79" t="str">
            <v>내고</v>
          </cell>
          <cell r="X79">
            <v>5.98</v>
          </cell>
        </row>
        <row r="80">
          <cell r="A80" t="str">
            <v>SI1673_20260113</v>
          </cell>
          <cell r="B80">
            <v>0</v>
          </cell>
          <cell r="C80">
            <v>46035</v>
          </cell>
          <cell r="D80" t="str">
            <v>미니슬림쿠션 하케이스 사출</v>
          </cell>
          <cell r="E80" t="str">
            <v>외경</v>
          </cell>
          <cell r="F80">
            <v>64.92</v>
          </cell>
          <cell r="N80" t="str">
            <v>A</v>
          </cell>
          <cell r="W80" t="str">
            <v>C</v>
          </cell>
          <cell r="X80">
            <v>12.16</v>
          </cell>
        </row>
        <row r="81">
          <cell r="A81" t="str">
            <v>SI1672_20260113</v>
          </cell>
          <cell r="B81">
            <v>0</v>
          </cell>
          <cell r="C81">
            <v>46035</v>
          </cell>
          <cell r="D81" t="str">
            <v>미니슬림쿠션 상케이스 사출</v>
          </cell>
          <cell r="E81" t="str">
            <v>외경</v>
          </cell>
          <cell r="F81">
            <v>64.84</v>
          </cell>
          <cell r="N81" t="str">
            <v>A</v>
          </cell>
          <cell r="W81" t="str">
            <v>C</v>
          </cell>
          <cell r="X81">
            <v>11.99</v>
          </cell>
        </row>
        <row r="82">
          <cell r="A82" t="str">
            <v>SI1668_20260112</v>
          </cell>
          <cell r="B82" t="str">
            <v>유재호</v>
          </cell>
          <cell r="C82">
            <v>46034</v>
          </cell>
          <cell r="D82" t="str">
            <v>마몽드 어메이징딥 민트클렌징밤 90ml(26AD 원터치단캡 사출</v>
          </cell>
          <cell r="E82" t="str">
            <v>내경</v>
          </cell>
          <cell r="F82">
            <v>83.89</v>
          </cell>
          <cell r="G82">
            <v>83.86</v>
          </cell>
          <cell r="H82">
            <v>83.9</v>
          </cell>
          <cell r="I82">
            <v>83.92</v>
          </cell>
          <cell r="N82" t="str">
            <v>나사경</v>
          </cell>
          <cell r="O82">
            <v>81.91</v>
          </cell>
          <cell r="P82">
            <v>81.91</v>
          </cell>
          <cell r="Q82">
            <v>81.93</v>
          </cell>
          <cell r="R82">
            <v>81.92</v>
          </cell>
          <cell r="W82" t="str">
            <v>언더컷</v>
          </cell>
          <cell r="X82">
            <v>82.56</v>
          </cell>
          <cell r="Y82">
            <v>82.59</v>
          </cell>
          <cell r="Z82">
            <v>82.58</v>
          </cell>
          <cell r="AA82">
            <v>82.56</v>
          </cell>
        </row>
        <row r="83">
          <cell r="A83" t="str">
            <v>SI1671_20260112</v>
          </cell>
          <cell r="B83" t="str">
            <v>장세래</v>
          </cell>
          <cell r="C83">
            <v>46034</v>
          </cell>
          <cell r="D83" t="str">
            <v>마몽드 어메이징딥 민트클렌징밤 90ml(26AD 단용기 사출</v>
          </cell>
          <cell r="E83" t="str">
            <v>외경</v>
          </cell>
          <cell r="F83">
            <v>87.77</v>
          </cell>
          <cell r="G83">
            <v>87.84</v>
          </cell>
          <cell r="H83">
            <v>87.82</v>
          </cell>
          <cell r="I83">
            <v>87.86</v>
          </cell>
          <cell r="N83" t="str">
            <v>나사경</v>
          </cell>
          <cell r="O83">
            <v>83.2</v>
          </cell>
          <cell r="P83">
            <v>83.3</v>
          </cell>
          <cell r="Q83">
            <v>83.2</v>
          </cell>
          <cell r="R83">
            <v>83.27</v>
          </cell>
          <cell r="W83">
            <v>0</v>
          </cell>
        </row>
        <row r="84">
          <cell r="A84" t="str">
            <v>SI1626_20251223</v>
          </cell>
          <cell r="B84" t="str">
            <v>유재호</v>
          </cell>
          <cell r="C84">
            <v>46014</v>
          </cell>
          <cell r="D84" t="str">
            <v>설화수 진설명작크림 (견) 10ML (AD 내캡</v>
          </cell>
          <cell r="E84" t="str">
            <v>내경</v>
          </cell>
          <cell r="F84">
            <v>47.18</v>
          </cell>
          <cell r="G84">
            <v>47.25</v>
          </cell>
          <cell r="H84">
            <v>47.27</v>
          </cell>
          <cell r="I84">
            <v>47.25</v>
          </cell>
          <cell r="N84" t="str">
            <v>외경</v>
          </cell>
          <cell r="O84">
            <v>51.59</v>
          </cell>
          <cell r="P84">
            <v>51.65</v>
          </cell>
          <cell r="Q84">
            <v>51.7</v>
          </cell>
          <cell r="R84">
            <v>51.62</v>
          </cell>
          <cell r="W84" t="str">
            <v>키잡이</v>
          </cell>
          <cell r="X84">
            <v>51.34</v>
          </cell>
          <cell r="Y84">
            <v>51.35</v>
          </cell>
          <cell r="Z84">
            <v>51.38</v>
          </cell>
          <cell r="AA84">
            <v>51.32</v>
          </cell>
        </row>
        <row r="85">
          <cell r="A85" t="str">
            <v>SI1631_20251223</v>
          </cell>
          <cell r="B85" t="str">
            <v>유재호</v>
          </cell>
          <cell r="C85">
            <v>46014</v>
          </cell>
          <cell r="D85" t="str">
            <v>설화수 진설명작크림 (견) 5ML (AD 내캡</v>
          </cell>
          <cell r="E85" t="str">
            <v>나사경</v>
          </cell>
          <cell r="F85">
            <v>34.700000000000003</v>
          </cell>
          <cell r="G85">
            <v>34.65</v>
          </cell>
          <cell r="H85">
            <v>34.67</v>
          </cell>
          <cell r="I85">
            <v>34.659999999999997</v>
          </cell>
          <cell r="N85" t="str">
            <v>외경</v>
          </cell>
          <cell r="O85">
            <v>41.4</v>
          </cell>
          <cell r="P85">
            <v>41.4</v>
          </cell>
          <cell r="Q85">
            <v>41.33</v>
          </cell>
          <cell r="R85">
            <v>41.37</v>
          </cell>
          <cell r="W85" t="str">
            <v>키잡이</v>
          </cell>
          <cell r="X85">
            <v>40.840000000000003</v>
          </cell>
          <cell r="Y85">
            <v>40.82</v>
          </cell>
          <cell r="Z85">
            <v>40.81</v>
          </cell>
          <cell r="AA85">
            <v>40.869999999999997</v>
          </cell>
        </row>
        <row r="86">
          <cell r="A86" t="str">
            <v>SI1668_20251222</v>
          </cell>
          <cell r="B86" t="str">
            <v>장세래</v>
          </cell>
          <cell r="C86">
            <v>46013</v>
          </cell>
          <cell r="D86" t="str">
            <v>마몽드 어메이징딥 민트클렌징밤 90ml(26AD 원터치단캡 사출</v>
          </cell>
          <cell r="E86" t="str">
            <v>내경</v>
          </cell>
          <cell r="F86">
            <v>83.92</v>
          </cell>
          <cell r="G86">
            <v>84.04</v>
          </cell>
          <cell r="H86">
            <v>83.7</v>
          </cell>
          <cell r="I86">
            <v>84.42</v>
          </cell>
          <cell r="N86" t="str">
            <v>나사경</v>
          </cell>
          <cell r="O86">
            <v>81.97</v>
          </cell>
          <cell r="P86">
            <v>82.05</v>
          </cell>
          <cell r="Q86">
            <v>81.73</v>
          </cell>
          <cell r="R86">
            <v>82.28</v>
          </cell>
          <cell r="W86" t="str">
            <v>언더컷</v>
          </cell>
          <cell r="X86">
            <v>82.79</v>
          </cell>
          <cell r="Y86">
            <v>82.72</v>
          </cell>
          <cell r="Z86">
            <v>82.69</v>
          </cell>
          <cell r="AA86">
            <v>82.69</v>
          </cell>
        </row>
        <row r="87">
          <cell r="A87" t="str">
            <v>SI1671_20251222</v>
          </cell>
          <cell r="B87" t="str">
            <v>장세래</v>
          </cell>
          <cell r="C87">
            <v>46013</v>
          </cell>
          <cell r="D87" t="str">
            <v>마몽드 어메이징딥 민트클렌징밤 90ml(26AD 단용기 사출</v>
          </cell>
          <cell r="E87" t="str">
            <v>외경</v>
          </cell>
          <cell r="F87">
            <v>88.05</v>
          </cell>
          <cell r="G87">
            <v>88.08</v>
          </cell>
          <cell r="H87">
            <v>88.04</v>
          </cell>
          <cell r="I87">
            <v>88.06</v>
          </cell>
          <cell r="N87" t="str">
            <v>나사경</v>
          </cell>
          <cell r="O87">
            <v>83.33</v>
          </cell>
          <cell r="P87">
            <v>83.38</v>
          </cell>
          <cell r="Q87">
            <v>83.31</v>
          </cell>
          <cell r="R87">
            <v>83.36</v>
          </cell>
          <cell r="W87">
            <v>0</v>
          </cell>
        </row>
        <row r="88">
          <cell r="A88" t="str">
            <v>SI1670_20251218</v>
          </cell>
          <cell r="B88" t="str">
            <v>유재호</v>
          </cell>
          <cell r="C88">
            <v>46009</v>
          </cell>
          <cell r="D88" t="str">
            <v>마몽드 어메이징딥 민트클렌징밤 90ml(26AD 사출덮개 사출</v>
          </cell>
          <cell r="E88" t="str">
            <v>외경</v>
          </cell>
          <cell r="F88">
            <v>78.459999999999994</v>
          </cell>
          <cell r="G88">
            <v>78.64</v>
          </cell>
          <cell r="H88">
            <v>78.349999999999994</v>
          </cell>
          <cell r="I88">
            <v>78.400000000000006</v>
          </cell>
          <cell r="N88" t="str">
            <v>내경</v>
          </cell>
          <cell r="O88">
            <v>76.94</v>
          </cell>
          <cell r="P88">
            <v>76.95</v>
          </cell>
          <cell r="Q88">
            <v>77.010000000000005</v>
          </cell>
          <cell r="R88">
            <v>76.930000000000007</v>
          </cell>
          <cell r="W88">
            <v>0</v>
          </cell>
        </row>
        <row r="89">
          <cell r="A89" t="str">
            <v>SI1616_20251215</v>
          </cell>
          <cell r="B89">
            <v>0</v>
          </cell>
          <cell r="C89">
            <v>46006</v>
          </cell>
          <cell r="D89" t="str">
            <v>설화수 진설명작크림 60ML (26AD 사출덮개</v>
          </cell>
          <cell r="E89" t="str">
            <v>A</v>
          </cell>
          <cell r="F89">
            <v>57.81</v>
          </cell>
          <cell r="G89">
            <v>57.79</v>
          </cell>
          <cell r="N89" t="str">
            <v>외경</v>
          </cell>
          <cell r="O89">
            <v>63.1</v>
          </cell>
          <cell r="P89">
            <v>63.07</v>
          </cell>
          <cell r="W89" t="str">
            <v>내경</v>
          </cell>
          <cell r="X89">
            <v>56.19</v>
          </cell>
          <cell r="Y89">
            <v>56.21</v>
          </cell>
        </row>
        <row r="90">
          <cell r="A90" t="str">
            <v>SI1669_20251209</v>
          </cell>
          <cell r="B90" t="str">
            <v>장세래</v>
          </cell>
          <cell r="C90">
            <v>46000</v>
          </cell>
          <cell r="D90" t="str">
            <v>마몽드 어메이징딥 민트클렌징밤 90ml(26AD 스파출러대 사출</v>
          </cell>
          <cell r="E90" t="str">
            <v>내경</v>
          </cell>
          <cell r="F90">
            <v>7.75</v>
          </cell>
          <cell r="G90">
            <v>7.7</v>
          </cell>
          <cell r="H90">
            <v>7.74</v>
          </cell>
          <cell r="I90">
            <v>7.74</v>
          </cell>
          <cell r="N90" t="str">
            <v>외경</v>
          </cell>
          <cell r="O90">
            <v>60.7</v>
          </cell>
          <cell r="P90">
            <v>60.88</v>
          </cell>
          <cell r="Q90">
            <v>60.88</v>
          </cell>
          <cell r="R90">
            <v>60.86</v>
          </cell>
          <cell r="W90">
            <v>0</v>
          </cell>
        </row>
        <row r="91">
          <cell r="A91" t="str">
            <v>SI1670_20251205</v>
          </cell>
          <cell r="B91" t="str">
            <v>유재호</v>
          </cell>
          <cell r="C91">
            <v>45996</v>
          </cell>
          <cell r="D91" t="str">
            <v>마몽드 어메이징딥 민트클렌징밤 90ml(26AD 사출덮개 사출</v>
          </cell>
          <cell r="E91" t="str">
            <v>외경</v>
          </cell>
          <cell r="F91">
            <v>79.37</v>
          </cell>
          <cell r="G91">
            <v>79.260000000000005</v>
          </cell>
          <cell r="H91">
            <v>79.25</v>
          </cell>
          <cell r="I91">
            <v>79.28</v>
          </cell>
          <cell r="N91" t="str">
            <v>내경</v>
          </cell>
          <cell r="O91">
            <v>77.13</v>
          </cell>
          <cell r="P91">
            <v>77.05</v>
          </cell>
          <cell r="Q91">
            <v>77.069999999999993</v>
          </cell>
          <cell r="R91">
            <v>77.08</v>
          </cell>
          <cell r="W91">
            <v>0</v>
          </cell>
        </row>
        <row r="92">
          <cell r="A92" t="str">
            <v>SI1671_20251203</v>
          </cell>
          <cell r="B92" t="str">
            <v>장세래</v>
          </cell>
          <cell r="C92">
            <v>45994</v>
          </cell>
          <cell r="D92" t="str">
            <v>마몽드 어메이징딥 민트클렌징밤 90ml(26AD 단용기 사출</v>
          </cell>
          <cell r="E92" t="str">
            <v>외경</v>
          </cell>
          <cell r="F92">
            <v>88.11</v>
          </cell>
          <cell r="G92">
            <v>88.07</v>
          </cell>
          <cell r="H92">
            <v>88.1</v>
          </cell>
          <cell r="I92">
            <v>88.06</v>
          </cell>
          <cell r="N92" t="str">
            <v>나사경</v>
          </cell>
          <cell r="O92">
            <v>83.08</v>
          </cell>
          <cell r="P92">
            <v>83.05</v>
          </cell>
          <cell r="Q92">
            <v>83.05</v>
          </cell>
          <cell r="R92">
            <v>83.06</v>
          </cell>
          <cell r="W92">
            <v>0</v>
          </cell>
        </row>
        <row r="93">
          <cell r="A93" t="str">
            <v>SI1668_20251203</v>
          </cell>
          <cell r="B93" t="str">
            <v>장세래</v>
          </cell>
          <cell r="C93">
            <v>45994</v>
          </cell>
          <cell r="D93" t="str">
            <v>마몽드 어메이징딥 민트클렌징밤 90ml(26AD 원터치단캡 사출</v>
          </cell>
          <cell r="E93" t="str">
            <v>내경</v>
          </cell>
          <cell r="F93">
            <v>83.84</v>
          </cell>
          <cell r="G93">
            <v>83.96</v>
          </cell>
          <cell r="H93">
            <v>83.6</v>
          </cell>
          <cell r="I93">
            <v>83.71</v>
          </cell>
          <cell r="N93" t="str">
            <v>나사경</v>
          </cell>
          <cell r="O93">
            <v>81.95</v>
          </cell>
          <cell r="P93">
            <v>81.95</v>
          </cell>
          <cell r="Q93">
            <v>81.98</v>
          </cell>
          <cell r="R93">
            <v>81.99</v>
          </cell>
          <cell r="W93" t="str">
            <v>언더컷</v>
          </cell>
          <cell r="X93">
            <v>82.42</v>
          </cell>
          <cell r="Y93">
            <v>82.42</v>
          </cell>
          <cell r="Z93">
            <v>82.34</v>
          </cell>
          <cell r="AA93">
            <v>82.45</v>
          </cell>
        </row>
        <row r="94">
          <cell r="A94" t="str">
            <v>SI1669_20251124</v>
          </cell>
          <cell r="B94" t="str">
            <v>유재호</v>
          </cell>
          <cell r="C94">
            <v>45985</v>
          </cell>
          <cell r="D94" t="str">
            <v>마몽드 어메이징딥 민트클렌징밤 90ml(26AD 스파출러대 사출</v>
          </cell>
          <cell r="E94" t="str">
            <v>내경</v>
          </cell>
          <cell r="F94">
            <v>7.73</v>
          </cell>
          <cell r="G94">
            <v>7.71</v>
          </cell>
          <cell r="H94">
            <v>7.71</v>
          </cell>
          <cell r="I94">
            <v>7.72</v>
          </cell>
          <cell r="N94" t="str">
            <v>외경</v>
          </cell>
          <cell r="O94">
            <v>60.64</v>
          </cell>
          <cell r="P94">
            <v>60.62</v>
          </cell>
          <cell r="Q94">
            <v>60.62</v>
          </cell>
          <cell r="R94">
            <v>60.8</v>
          </cell>
          <cell r="W94">
            <v>0</v>
          </cell>
        </row>
        <row r="95">
          <cell r="A95" t="str">
            <v>SI1669_20251124</v>
          </cell>
          <cell r="B95" t="str">
            <v>유재호</v>
          </cell>
          <cell r="C95">
            <v>45985</v>
          </cell>
          <cell r="D95" t="str">
            <v>마몽드 어메이징딥 민트클렌징밤 90ml(26AD 스파출러대 사출</v>
          </cell>
          <cell r="E95" t="str">
            <v>내경</v>
          </cell>
          <cell r="F95">
            <v>7.7</v>
          </cell>
          <cell r="G95">
            <v>7.7</v>
          </cell>
          <cell r="H95">
            <v>7.71</v>
          </cell>
          <cell r="I95">
            <v>7.71</v>
          </cell>
          <cell r="N95" t="str">
            <v>외경</v>
          </cell>
          <cell r="O95">
            <v>60.6</v>
          </cell>
          <cell r="P95">
            <v>60.96</v>
          </cell>
          <cell r="Q95">
            <v>60.64</v>
          </cell>
          <cell r="R95">
            <v>60.94</v>
          </cell>
          <cell r="W95">
            <v>0</v>
          </cell>
        </row>
        <row r="96">
          <cell r="A96" t="str">
            <v>SI1632_20251121</v>
          </cell>
          <cell r="B96" t="str">
            <v>이종운</v>
          </cell>
          <cell r="C96">
            <v>45982</v>
          </cell>
          <cell r="D96" t="str">
            <v>설화수 진설명작크림 (견) 5ML (AD 단용기</v>
          </cell>
          <cell r="E96" t="str">
            <v>나사경</v>
          </cell>
          <cell r="F96">
            <v>35.94</v>
          </cell>
          <cell r="G96">
            <v>35.94</v>
          </cell>
          <cell r="H96">
            <v>35.950000000000003</v>
          </cell>
          <cell r="I96">
            <v>35.950000000000003</v>
          </cell>
          <cell r="N96" t="str">
            <v>외경</v>
          </cell>
          <cell r="O96">
            <v>36.11</v>
          </cell>
          <cell r="P96">
            <v>36.119999999999997</v>
          </cell>
          <cell r="Q96">
            <v>36.090000000000003</v>
          </cell>
          <cell r="R96">
            <v>36.119999999999997</v>
          </cell>
          <cell r="W96" t="str">
            <v>언더컷</v>
          </cell>
          <cell r="X96">
            <v>34.58</v>
          </cell>
          <cell r="Y96">
            <v>34.58</v>
          </cell>
          <cell r="Z96">
            <v>34.6</v>
          </cell>
          <cell r="AA96">
            <v>34.590000000000003</v>
          </cell>
        </row>
        <row r="97">
          <cell r="A97" t="str">
            <v>SI1628_20251121</v>
          </cell>
          <cell r="B97" t="str">
            <v>이종운</v>
          </cell>
          <cell r="C97">
            <v>45982</v>
          </cell>
          <cell r="D97" t="str">
            <v>설화수 진설명작크림 (견) 10ML (AD 단용기</v>
          </cell>
          <cell r="E97" t="str">
            <v>나사경</v>
          </cell>
          <cell r="F97">
            <v>46.39</v>
          </cell>
          <cell r="G97">
            <v>46.4</v>
          </cell>
          <cell r="H97">
            <v>46.39</v>
          </cell>
          <cell r="I97">
            <v>46.4</v>
          </cell>
          <cell r="N97" t="str">
            <v>외경</v>
          </cell>
          <cell r="O97">
            <v>46.69</v>
          </cell>
          <cell r="P97">
            <v>46.74</v>
          </cell>
          <cell r="Q97">
            <v>46.71</v>
          </cell>
          <cell r="R97">
            <v>46.69</v>
          </cell>
          <cell r="W97" t="str">
            <v>언더컷</v>
          </cell>
          <cell r="X97">
            <v>44.97</v>
          </cell>
          <cell r="Y97">
            <v>44.97</v>
          </cell>
          <cell r="Z97">
            <v>44.91</v>
          </cell>
          <cell r="AA97">
            <v>44.92</v>
          </cell>
        </row>
        <row r="98">
          <cell r="A98" t="str">
            <v>SI1617_20251121</v>
          </cell>
          <cell r="B98" t="str">
            <v>장세래</v>
          </cell>
          <cell r="C98">
            <v>45982</v>
          </cell>
          <cell r="D98" t="str">
            <v>설화수 진설명작크림 60ML (26AD 중용기</v>
          </cell>
          <cell r="E98" t="str">
            <v>외경</v>
          </cell>
          <cell r="F98">
            <v>64.5</v>
          </cell>
          <cell r="G98">
            <v>64.540000000000006</v>
          </cell>
          <cell r="N98" t="str">
            <v>내경</v>
          </cell>
          <cell r="O98">
            <v>61.71</v>
          </cell>
          <cell r="P98">
            <v>61.71</v>
          </cell>
          <cell r="W98" t="str">
            <v>언더컷</v>
          </cell>
          <cell r="X98">
            <v>61.54</v>
          </cell>
          <cell r="Y98">
            <v>61.55</v>
          </cell>
        </row>
        <row r="99">
          <cell r="A99" t="str">
            <v>SI1620_20251121</v>
          </cell>
          <cell r="B99" t="str">
            <v>장세래</v>
          </cell>
          <cell r="C99">
            <v>45982</v>
          </cell>
          <cell r="D99" t="str">
            <v>설화수 진설명작크림 60ML (26AD 용기받침 사출</v>
          </cell>
          <cell r="E99" t="str">
            <v>외경</v>
          </cell>
          <cell r="F99">
            <v>90.32</v>
          </cell>
          <cell r="G99">
            <v>90.35</v>
          </cell>
          <cell r="N99" t="str">
            <v>언더컷</v>
          </cell>
          <cell r="O99">
            <v>76.180000000000007</v>
          </cell>
          <cell r="P99">
            <v>76.16</v>
          </cell>
          <cell r="W99">
            <v>0</v>
          </cell>
        </row>
        <row r="100">
          <cell r="A100" t="str">
            <v>SI1614_20251119</v>
          </cell>
          <cell r="B100" t="str">
            <v>한창구</v>
          </cell>
          <cell r="C100">
            <v>45980</v>
          </cell>
          <cell r="D100" t="str">
            <v>설화수 진설명작크림 60ML (26AD 내캡</v>
          </cell>
          <cell r="E100" t="str">
            <v>키잡이</v>
          </cell>
          <cell r="F100">
            <v>82.13</v>
          </cell>
          <cell r="G100">
            <v>82.16</v>
          </cell>
          <cell r="N100" t="str">
            <v>언더컷</v>
          </cell>
          <cell r="O100">
            <v>80.94</v>
          </cell>
          <cell r="P100">
            <v>80.959999999999994</v>
          </cell>
          <cell r="W100" t="str">
            <v>언더컷2</v>
          </cell>
        </row>
        <row r="101">
          <cell r="A101" t="str">
            <v>SI1618_20251119</v>
          </cell>
          <cell r="B101" t="str">
            <v>한창구</v>
          </cell>
          <cell r="C101">
            <v>45980</v>
          </cell>
          <cell r="D101" t="str">
            <v>설화수 진설명작크림 60ML (26AD 내용기</v>
          </cell>
          <cell r="E101" t="str">
            <v>언더컷</v>
          </cell>
          <cell r="F101">
            <v>62.03</v>
          </cell>
          <cell r="G101">
            <v>62.04</v>
          </cell>
          <cell r="N101" t="str">
            <v>언더컷2</v>
          </cell>
          <cell r="W101" t="str">
            <v>내경</v>
          </cell>
          <cell r="X101">
            <v>63.82</v>
          </cell>
          <cell r="Y101">
            <v>63.85</v>
          </cell>
        </row>
        <row r="102">
          <cell r="A102" t="str">
            <v>SI1653_20251114</v>
          </cell>
          <cell r="B102" t="str">
            <v>유재호</v>
          </cell>
          <cell r="C102">
            <v>45975</v>
          </cell>
          <cell r="D102" t="str">
            <v>홀리추얼 울트라 너리싱 아이크림 30ML 중캡</v>
          </cell>
          <cell r="E102" t="str">
            <v>외경</v>
          </cell>
          <cell r="F102">
            <v>21.31</v>
          </cell>
          <cell r="G102">
            <v>21.29</v>
          </cell>
          <cell r="N102" t="str">
            <v>언더컷</v>
          </cell>
          <cell r="O102">
            <v>17.920000000000002</v>
          </cell>
          <cell r="P102">
            <v>17.93</v>
          </cell>
          <cell r="W102">
            <v>0</v>
          </cell>
        </row>
        <row r="103">
          <cell r="A103" t="str">
            <v>SI1654_20251111</v>
          </cell>
          <cell r="B103" t="str">
            <v>장세래</v>
          </cell>
          <cell r="C103">
            <v>45972</v>
          </cell>
          <cell r="D103" t="str">
            <v>홀리추얼 울트라 너리싱 아이크림 30ML 내캡</v>
          </cell>
          <cell r="E103" t="str">
            <v>외경</v>
          </cell>
          <cell r="F103">
            <v>17.579999999999998</v>
          </cell>
          <cell r="G103">
            <v>17.600000000000001</v>
          </cell>
          <cell r="H103">
            <v>17.66</v>
          </cell>
          <cell r="I103">
            <v>17.600000000000001</v>
          </cell>
          <cell r="N103" t="str">
            <v>언더컷</v>
          </cell>
          <cell r="O103">
            <v>16.809999999999999</v>
          </cell>
          <cell r="P103">
            <v>16.829999999999998</v>
          </cell>
          <cell r="Q103">
            <v>16.82</v>
          </cell>
          <cell r="R103">
            <v>16.809999999999999</v>
          </cell>
          <cell r="W103" t="str">
            <v>나사경</v>
          </cell>
          <cell r="X103">
            <v>12.36</v>
          </cell>
          <cell r="Y103">
            <v>12.34</v>
          </cell>
          <cell r="Z103">
            <v>12.33</v>
          </cell>
          <cell r="AA103">
            <v>12.41</v>
          </cell>
        </row>
        <row r="104">
          <cell r="A104" t="str">
            <v>SI1642_20251030</v>
          </cell>
          <cell r="B104" t="str">
            <v>한창구</v>
          </cell>
          <cell r="C104">
            <v>45960</v>
          </cell>
          <cell r="D104" t="str">
            <v>헤라 시그니아 유스퍼밍 아이크림 소용량 5mL(26AD 내용기</v>
          </cell>
          <cell r="E104" t="str">
            <v>외경</v>
          </cell>
          <cell r="F104">
            <v>33.61</v>
          </cell>
          <cell r="G104">
            <v>33.619999999999997</v>
          </cell>
          <cell r="H104">
            <v>33.61</v>
          </cell>
          <cell r="I104">
            <v>33.6</v>
          </cell>
          <cell r="N104" t="str">
            <v>언더컷</v>
          </cell>
          <cell r="O104">
            <v>28.03</v>
          </cell>
          <cell r="P104">
            <v>28.03</v>
          </cell>
          <cell r="Q104">
            <v>28.03</v>
          </cell>
          <cell r="R104">
            <v>28.13</v>
          </cell>
          <cell r="W104" t="str">
            <v>내경</v>
          </cell>
        </row>
        <row r="105">
          <cell r="A105" t="str">
            <v>SI1638_20251104</v>
          </cell>
          <cell r="B105" t="str">
            <v>유재호</v>
          </cell>
          <cell r="C105">
            <v>45965</v>
          </cell>
          <cell r="D105" t="str">
            <v>헤라 시그니아 바이탈리프팅크림 소용량 15ml 26AD 내용기</v>
          </cell>
          <cell r="E105" t="str">
            <v>외경</v>
          </cell>
          <cell r="F105">
            <v>37.75</v>
          </cell>
          <cell r="G105">
            <v>37.74</v>
          </cell>
          <cell r="H105">
            <v>37.729999999999997</v>
          </cell>
          <cell r="I105">
            <v>37.75</v>
          </cell>
          <cell r="N105" t="str">
            <v>언더컷</v>
          </cell>
          <cell r="O105">
            <v>35.08</v>
          </cell>
          <cell r="P105">
            <v>35.1</v>
          </cell>
          <cell r="Q105">
            <v>35.07</v>
          </cell>
          <cell r="R105">
            <v>35.07</v>
          </cell>
          <cell r="W105" t="str">
            <v>내경</v>
          </cell>
        </row>
        <row r="106">
          <cell r="A106" t="str">
            <v>SI1611_20251104</v>
          </cell>
          <cell r="B106" t="str">
            <v>한창구</v>
          </cell>
          <cell r="C106">
            <v>45965</v>
          </cell>
          <cell r="D106" t="str">
            <v>홀리추얼 울트라 너리싱 어드밴스드 토너 150ML 내캡</v>
          </cell>
          <cell r="E106" t="str">
            <v>A</v>
          </cell>
          <cell r="F106">
            <v>31.84</v>
          </cell>
          <cell r="G106">
            <v>31.85</v>
          </cell>
          <cell r="H106">
            <v>31.86</v>
          </cell>
          <cell r="I106">
            <v>31.86</v>
          </cell>
          <cell r="N106" t="str">
            <v>B</v>
          </cell>
          <cell r="W106" t="str">
            <v>C</v>
          </cell>
          <cell r="X106">
            <v>18.98</v>
          </cell>
          <cell r="Y106">
            <v>18.98</v>
          </cell>
          <cell r="Z106">
            <v>18.96</v>
          </cell>
          <cell r="AA106">
            <v>18.95</v>
          </cell>
        </row>
        <row r="107">
          <cell r="A107" t="str">
            <v>SI1637_20251028</v>
          </cell>
          <cell r="B107" t="str">
            <v>장세래</v>
          </cell>
          <cell r="C107">
            <v>45958</v>
          </cell>
          <cell r="D107" t="str">
            <v>헤라 시그니아 바이탈리프팅크림 소용량 15ml 26AD 외용기</v>
          </cell>
          <cell r="E107" t="str">
            <v>외경</v>
          </cell>
          <cell r="F107">
            <v>47.81</v>
          </cell>
          <cell r="G107">
            <v>47.84</v>
          </cell>
          <cell r="H107">
            <v>47.8</v>
          </cell>
          <cell r="I107">
            <v>47.81</v>
          </cell>
          <cell r="N107" t="str">
            <v>내경</v>
          </cell>
          <cell r="O107">
            <v>34.65</v>
          </cell>
          <cell r="P107">
            <v>34.71</v>
          </cell>
          <cell r="Q107">
            <v>34.76</v>
          </cell>
          <cell r="R107">
            <v>34.72</v>
          </cell>
          <cell r="W107" t="str">
            <v>나사경</v>
          </cell>
          <cell r="X107">
            <v>39.85</v>
          </cell>
          <cell r="Y107">
            <v>39.89</v>
          </cell>
          <cell r="Z107">
            <v>39.869999999999997</v>
          </cell>
          <cell r="AA107">
            <v>39.83</v>
          </cell>
        </row>
        <row r="108">
          <cell r="A108" t="str">
            <v>SI1638_20251027</v>
          </cell>
          <cell r="B108" t="str">
            <v>장세래</v>
          </cell>
          <cell r="C108">
            <v>45957</v>
          </cell>
          <cell r="D108" t="str">
            <v>헤라 시그니아 바이탈리프팅크림 소용량 15ml 26AD 내용기</v>
          </cell>
          <cell r="E108" t="str">
            <v>외경</v>
          </cell>
          <cell r="F108">
            <v>37.729999999999997</v>
          </cell>
          <cell r="G108">
            <v>37.72</v>
          </cell>
          <cell r="H108">
            <v>37.76</v>
          </cell>
          <cell r="I108">
            <v>37.76</v>
          </cell>
          <cell r="N108" t="str">
            <v>언더컷</v>
          </cell>
          <cell r="O108">
            <v>35.14</v>
          </cell>
          <cell r="P108">
            <v>35.159999999999997</v>
          </cell>
          <cell r="Q108">
            <v>35.130000000000003</v>
          </cell>
          <cell r="R108">
            <v>35.11</v>
          </cell>
          <cell r="W108" t="str">
            <v>내경</v>
          </cell>
          <cell r="X108">
            <v>29.8</v>
          </cell>
          <cell r="Y108">
            <v>29.82</v>
          </cell>
          <cell r="Z108">
            <v>29.78</v>
          </cell>
          <cell r="AA108">
            <v>29.88</v>
          </cell>
        </row>
        <row r="109">
          <cell r="A109" t="str">
            <v>SI1643_20251023</v>
          </cell>
          <cell r="B109" t="str">
            <v>장세래</v>
          </cell>
          <cell r="C109">
            <v>45953</v>
          </cell>
          <cell r="D109" t="str">
            <v>헤라 시그니아 유스퍼밍 아이크림 소용량 5mL(26AD 외용기</v>
          </cell>
          <cell r="E109" t="str">
            <v>외경</v>
          </cell>
          <cell r="F109">
            <v>40.549999999999997</v>
          </cell>
          <cell r="G109">
            <v>40.590000000000003</v>
          </cell>
          <cell r="H109">
            <v>40.590000000000003</v>
          </cell>
          <cell r="I109">
            <v>40.56</v>
          </cell>
          <cell r="N109" t="str">
            <v>내경</v>
          </cell>
          <cell r="O109">
            <v>27.66</v>
          </cell>
          <cell r="P109">
            <v>27.78</v>
          </cell>
          <cell r="Q109">
            <v>27.76</v>
          </cell>
          <cell r="R109">
            <v>27.79</v>
          </cell>
          <cell r="W109" t="str">
            <v>나사경</v>
          </cell>
          <cell r="X109">
            <v>35.880000000000003</v>
          </cell>
          <cell r="Y109">
            <v>35.83</v>
          </cell>
          <cell r="Z109">
            <v>35.909999999999997</v>
          </cell>
          <cell r="AA109">
            <v>35.83</v>
          </cell>
        </row>
        <row r="110">
          <cell r="A110" t="str">
            <v>SI1641_20251023</v>
          </cell>
          <cell r="B110" t="str">
            <v>유재호</v>
          </cell>
          <cell r="C110">
            <v>45953</v>
          </cell>
          <cell r="D110" t="str">
            <v>헤라 시그니아 유스퍼밍 아이크림 소용량 5mL(26AD 캡</v>
          </cell>
          <cell r="E110" t="str">
            <v>외경</v>
          </cell>
          <cell r="F110">
            <v>39.82</v>
          </cell>
          <cell r="G110">
            <v>39.83</v>
          </cell>
          <cell r="H110">
            <v>39.799999999999997</v>
          </cell>
          <cell r="I110">
            <v>39.82</v>
          </cell>
          <cell r="N110" t="str">
            <v>나사경</v>
          </cell>
          <cell r="O110">
            <v>34.33</v>
          </cell>
          <cell r="P110">
            <v>34.4</v>
          </cell>
          <cell r="Q110">
            <v>34.39</v>
          </cell>
          <cell r="R110">
            <v>34.380000000000003</v>
          </cell>
          <cell r="W110">
            <v>0</v>
          </cell>
        </row>
        <row r="111">
          <cell r="A111" t="str">
            <v>SI1654_20251014</v>
          </cell>
          <cell r="B111" t="str">
            <v>유재호</v>
          </cell>
          <cell r="C111">
            <v>45944</v>
          </cell>
          <cell r="D111" t="str">
            <v>홀리추얼 울트라 너리싱 아이크림 30ML 내캡</v>
          </cell>
          <cell r="E111" t="str">
            <v>외경</v>
          </cell>
          <cell r="F111">
            <v>17.53</v>
          </cell>
          <cell r="G111">
            <v>17.54</v>
          </cell>
          <cell r="H111">
            <v>17.48</v>
          </cell>
          <cell r="I111">
            <v>17.489999999999998</v>
          </cell>
          <cell r="N111" t="str">
            <v>언더컷</v>
          </cell>
          <cell r="O111">
            <v>17.3</v>
          </cell>
          <cell r="P111">
            <v>17.3</v>
          </cell>
          <cell r="Q111">
            <v>17.28</v>
          </cell>
          <cell r="R111">
            <v>17.32</v>
          </cell>
          <cell r="W111" t="str">
            <v>나사경</v>
          </cell>
          <cell r="X111">
            <v>12.38</v>
          </cell>
          <cell r="Y111">
            <v>12.35</v>
          </cell>
          <cell r="Z111">
            <v>12.39</v>
          </cell>
          <cell r="AA111">
            <v>12.36</v>
          </cell>
        </row>
        <row r="112">
          <cell r="A112" t="str">
            <v>SI1653_20251003</v>
          </cell>
          <cell r="B112" t="str">
            <v>유재호</v>
          </cell>
          <cell r="C112">
            <v>45933</v>
          </cell>
          <cell r="D112" t="str">
            <v>홀리추얼 울트라 너리싱 아이크림 30ML 중캡</v>
          </cell>
          <cell r="E112" t="str">
            <v>외경</v>
          </cell>
          <cell r="F112">
            <v>21.26</v>
          </cell>
          <cell r="G112">
            <v>21.28</v>
          </cell>
          <cell r="N112" t="str">
            <v>언더컷</v>
          </cell>
          <cell r="O112">
            <v>17.489999999999998</v>
          </cell>
          <cell r="P112">
            <v>17.5</v>
          </cell>
          <cell r="W112">
            <v>0</v>
          </cell>
        </row>
        <row r="113">
          <cell r="A113" t="str">
            <v>SI1652_20251003</v>
          </cell>
          <cell r="B113" t="str">
            <v>유재호</v>
          </cell>
          <cell r="C113">
            <v>45933</v>
          </cell>
          <cell r="D113" t="str">
            <v>홀리추얼 울트라 너리싱 아이크림 30ML 외캡</v>
          </cell>
          <cell r="E113" t="str">
            <v>외경</v>
          </cell>
          <cell r="F113">
            <v>21.64</v>
          </cell>
          <cell r="G113">
            <v>21.67</v>
          </cell>
          <cell r="H113">
            <v>21.68</v>
          </cell>
          <cell r="I113">
            <v>21.65</v>
          </cell>
          <cell r="N113" t="str">
            <v>언더컷</v>
          </cell>
          <cell r="O113">
            <v>18.61</v>
          </cell>
          <cell r="P113">
            <v>18.62</v>
          </cell>
          <cell r="Q113">
            <v>18.62</v>
          </cell>
          <cell r="R113">
            <v>18.61</v>
          </cell>
          <cell r="W113">
            <v>0</v>
          </cell>
        </row>
        <row r="114">
          <cell r="A114" t="str">
            <v>SI1629_20250926</v>
          </cell>
          <cell r="B114" t="str">
            <v>유재호</v>
          </cell>
          <cell r="C114">
            <v>45926</v>
          </cell>
          <cell r="D114" t="str">
            <v>설화수 진설명작크림 (견) 10ML (AD 사출덮개</v>
          </cell>
          <cell r="E114" t="str">
            <v>내경</v>
          </cell>
          <cell r="F114">
            <v>34.79</v>
          </cell>
          <cell r="G114">
            <v>34.770000000000003</v>
          </cell>
          <cell r="H114">
            <v>34.78</v>
          </cell>
          <cell r="I114">
            <v>34.76</v>
          </cell>
          <cell r="N114" t="str">
            <v>외경</v>
          </cell>
          <cell r="O114">
            <v>37.380000000000003</v>
          </cell>
          <cell r="P114">
            <v>37.39</v>
          </cell>
          <cell r="Q114">
            <v>37.36</v>
          </cell>
          <cell r="R114">
            <v>37.42</v>
          </cell>
          <cell r="W114" t="str">
            <v>외고</v>
          </cell>
        </row>
        <row r="115">
          <cell r="A115" t="str">
            <v>SI1634_20250926</v>
          </cell>
          <cell r="B115" t="str">
            <v>유재호</v>
          </cell>
          <cell r="C115">
            <v>45926</v>
          </cell>
          <cell r="D115" t="str">
            <v>설화수 진설명작크림 (견) 5ML (AD 사출덮개</v>
          </cell>
          <cell r="E115" t="str">
            <v>내경</v>
          </cell>
          <cell r="F115">
            <v>24.43</v>
          </cell>
          <cell r="G115">
            <v>24.39</v>
          </cell>
          <cell r="H115">
            <v>24.41</v>
          </cell>
          <cell r="I115">
            <v>24.39</v>
          </cell>
          <cell r="N115" t="str">
            <v>외경</v>
          </cell>
          <cell r="O115">
            <v>27.18</v>
          </cell>
          <cell r="P115">
            <v>27.13</v>
          </cell>
          <cell r="Q115">
            <v>27.16</v>
          </cell>
          <cell r="R115">
            <v>27.15</v>
          </cell>
          <cell r="W115" t="str">
            <v>외고</v>
          </cell>
        </row>
        <row r="116">
          <cell r="A116" t="str">
            <v>SI1652_20251020</v>
          </cell>
          <cell r="B116" t="str">
            <v>장세래</v>
          </cell>
          <cell r="C116">
            <v>45950</v>
          </cell>
          <cell r="D116" t="str">
            <v>홀리추얼 울트라 너리싱 아이크림 30ML 외캡</v>
          </cell>
          <cell r="E116" t="str">
            <v>외경</v>
          </cell>
          <cell r="F116">
            <v>21.68</v>
          </cell>
          <cell r="G116">
            <v>21.71</v>
          </cell>
          <cell r="H116">
            <v>21.71</v>
          </cell>
          <cell r="I116">
            <v>21.68</v>
          </cell>
          <cell r="N116" t="str">
            <v>언더컷</v>
          </cell>
          <cell r="O116">
            <v>18.66</v>
          </cell>
          <cell r="P116">
            <v>18.63</v>
          </cell>
          <cell r="Q116">
            <v>18.64</v>
          </cell>
          <cell r="R116">
            <v>18.63</v>
          </cell>
          <cell r="W116">
            <v>0</v>
          </cell>
        </row>
        <row r="117">
          <cell r="A117" t="str">
            <v>SI1637_20251001</v>
          </cell>
          <cell r="B117" t="str">
            <v>장세래</v>
          </cell>
          <cell r="C117">
            <v>45931</v>
          </cell>
          <cell r="D117" t="str">
            <v>헤라 시그니아 바이탈리프팅크림 소용량 15ml 26AD 외용기</v>
          </cell>
          <cell r="E117" t="str">
            <v>외경</v>
          </cell>
          <cell r="F117">
            <v>47.8</v>
          </cell>
          <cell r="G117">
            <v>47.82</v>
          </cell>
          <cell r="H117">
            <v>47.78</v>
          </cell>
          <cell r="I117">
            <v>47.79</v>
          </cell>
          <cell r="N117" t="str">
            <v>내경</v>
          </cell>
          <cell r="O117">
            <v>34.619999999999997</v>
          </cell>
          <cell r="P117">
            <v>34.65</v>
          </cell>
          <cell r="Q117">
            <v>34.659999999999997</v>
          </cell>
          <cell r="R117">
            <v>34.69</v>
          </cell>
          <cell r="W117" t="str">
            <v>나사경</v>
          </cell>
          <cell r="X117">
            <v>39.74</v>
          </cell>
          <cell r="Y117">
            <v>39.78</v>
          </cell>
          <cell r="Z117">
            <v>39.770000000000003</v>
          </cell>
          <cell r="AA117">
            <v>39.79</v>
          </cell>
        </row>
        <row r="118">
          <cell r="A118" t="str">
            <v>SI1643_20251001</v>
          </cell>
          <cell r="B118" t="str">
            <v>장세래</v>
          </cell>
          <cell r="C118">
            <v>45931</v>
          </cell>
          <cell r="D118" t="str">
            <v>헤라 시그니아 유스퍼밍 아이크림 소용량 5mL(26AD 외용기</v>
          </cell>
          <cell r="E118" t="str">
            <v>외경</v>
          </cell>
          <cell r="F118">
            <v>40.51</v>
          </cell>
          <cell r="G118">
            <v>40.53</v>
          </cell>
          <cell r="H118">
            <v>40.53</v>
          </cell>
          <cell r="I118">
            <v>40.51</v>
          </cell>
          <cell r="N118" t="str">
            <v>내경</v>
          </cell>
          <cell r="O118">
            <v>27.63</v>
          </cell>
          <cell r="P118">
            <v>27.58</v>
          </cell>
          <cell r="Q118">
            <v>27.64</v>
          </cell>
          <cell r="R118">
            <v>27.68</v>
          </cell>
          <cell r="W118" t="str">
            <v>나사경</v>
          </cell>
          <cell r="X118">
            <v>35.76</v>
          </cell>
          <cell r="Y118">
            <v>35.770000000000003</v>
          </cell>
          <cell r="Z118">
            <v>35.799999999999997</v>
          </cell>
          <cell r="AA118">
            <v>35.729999999999997</v>
          </cell>
        </row>
        <row r="119">
          <cell r="A119" t="str">
            <v>SI1642_20250930</v>
          </cell>
          <cell r="B119" t="str">
            <v>장세래</v>
          </cell>
          <cell r="C119">
            <v>45930</v>
          </cell>
          <cell r="D119" t="str">
            <v>헤라 시그니아 유스퍼밍 아이크림 소용량 5mL(26AD 내용기</v>
          </cell>
          <cell r="E119" t="str">
            <v>외경</v>
          </cell>
          <cell r="F119">
            <v>33.53</v>
          </cell>
          <cell r="G119">
            <v>33.520000000000003</v>
          </cell>
          <cell r="H119">
            <v>33.520000000000003</v>
          </cell>
          <cell r="I119">
            <v>33.51</v>
          </cell>
          <cell r="N119" t="str">
            <v>언더컷</v>
          </cell>
          <cell r="O119">
            <v>27.88</v>
          </cell>
          <cell r="P119">
            <v>27.89</v>
          </cell>
          <cell r="Q119">
            <v>27.92</v>
          </cell>
          <cell r="R119">
            <v>27.93</v>
          </cell>
          <cell r="W119" t="str">
            <v>내경</v>
          </cell>
          <cell r="X119">
            <v>20.39</v>
          </cell>
          <cell r="Y119">
            <v>20.350000000000001</v>
          </cell>
          <cell r="Z119">
            <v>20.36</v>
          </cell>
          <cell r="AA119">
            <v>20.32</v>
          </cell>
        </row>
        <row r="120">
          <cell r="A120" t="str">
            <v>SI1638_20250930</v>
          </cell>
          <cell r="B120" t="str">
            <v>장세래</v>
          </cell>
          <cell r="C120">
            <v>45930</v>
          </cell>
          <cell r="D120" t="str">
            <v>헤라 시그니아 바이탈리프팅크림 소용량 15ml 26AD 내용기</v>
          </cell>
          <cell r="E120" t="str">
            <v>외경</v>
          </cell>
          <cell r="F120">
            <v>37.69</v>
          </cell>
          <cell r="G120">
            <v>37.74</v>
          </cell>
          <cell r="H120">
            <v>37.69</v>
          </cell>
          <cell r="I120">
            <v>37.729999999999997</v>
          </cell>
          <cell r="N120" t="str">
            <v>언더컷</v>
          </cell>
          <cell r="O120">
            <v>34.950000000000003</v>
          </cell>
          <cell r="P120">
            <v>35.01</v>
          </cell>
          <cell r="Q120">
            <v>35.01</v>
          </cell>
          <cell r="R120">
            <v>34.99</v>
          </cell>
          <cell r="W120" t="str">
            <v>내경</v>
          </cell>
          <cell r="X120">
            <v>29.75</v>
          </cell>
          <cell r="Y120">
            <v>29.76</v>
          </cell>
          <cell r="Z120">
            <v>29.77</v>
          </cell>
          <cell r="AA120">
            <v>29.74</v>
          </cell>
        </row>
        <row r="121">
          <cell r="A121" t="str">
            <v>SI1640_20250929</v>
          </cell>
          <cell r="B121" t="str">
            <v>장세래</v>
          </cell>
          <cell r="C121">
            <v>45929</v>
          </cell>
          <cell r="D121" t="str">
            <v>헤라 시그니아 바이탈리프팅크림 소용량 15ml 26AD 내캡</v>
          </cell>
          <cell r="E121" t="str">
            <v>언더컷</v>
          </cell>
          <cell r="F121">
            <v>44.51</v>
          </cell>
          <cell r="G121">
            <v>44.52</v>
          </cell>
          <cell r="H121">
            <v>44.5</v>
          </cell>
          <cell r="I121">
            <v>44.51</v>
          </cell>
          <cell r="N121" t="str">
            <v>나사경</v>
          </cell>
          <cell r="O121">
            <v>38.83</v>
          </cell>
          <cell r="P121">
            <v>38.72</v>
          </cell>
          <cell r="Q121">
            <v>38.799999999999997</v>
          </cell>
          <cell r="R121">
            <v>38.74</v>
          </cell>
          <cell r="W121">
            <v>0</v>
          </cell>
        </row>
        <row r="122">
          <cell r="A122" t="str">
            <v>SI1643_20250923</v>
          </cell>
          <cell r="B122" t="str">
            <v>민병태</v>
          </cell>
          <cell r="C122">
            <v>45923</v>
          </cell>
          <cell r="D122" t="str">
            <v>헤라 시그니아 유스퍼밍 아이크림 소용량 5mL(26AD 외용기</v>
          </cell>
          <cell r="E122" t="str">
            <v>외경</v>
          </cell>
          <cell r="F122">
            <v>40.53</v>
          </cell>
          <cell r="G122">
            <v>40.53</v>
          </cell>
          <cell r="H122">
            <v>40.54</v>
          </cell>
          <cell r="I122">
            <v>40.56</v>
          </cell>
          <cell r="N122" t="str">
            <v>내경</v>
          </cell>
          <cell r="O122">
            <v>27.68</v>
          </cell>
          <cell r="P122">
            <v>27.63</v>
          </cell>
          <cell r="Q122">
            <v>24.67</v>
          </cell>
          <cell r="R122">
            <v>27.61</v>
          </cell>
          <cell r="W122" t="str">
            <v>나사경</v>
          </cell>
          <cell r="X122">
            <v>35.79</v>
          </cell>
          <cell r="Y122">
            <v>35.799999999999997</v>
          </cell>
          <cell r="Z122">
            <v>35.78</v>
          </cell>
          <cell r="AA122">
            <v>35.78</v>
          </cell>
        </row>
        <row r="123">
          <cell r="A123" t="str">
            <v>SI1642_20250915</v>
          </cell>
          <cell r="B123" t="str">
            <v>장세래</v>
          </cell>
          <cell r="C123">
            <v>45915</v>
          </cell>
          <cell r="D123" t="str">
            <v>헤라 시그니아 유스퍼밍 아이크림 소용량 5mL(26AD 내용기</v>
          </cell>
          <cell r="E123" t="str">
            <v>외경</v>
          </cell>
          <cell r="F123">
            <v>33.46</v>
          </cell>
          <cell r="G123">
            <v>33.47</v>
          </cell>
          <cell r="H123">
            <v>33.49</v>
          </cell>
          <cell r="I123">
            <v>33.46</v>
          </cell>
          <cell r="N123" t="str">
            <v>언더컷</v>
          </cell>
          <cell r="O123">
            <v>27.91</v>
          </cell>
          <cell r="P123">
            <v>27.9</v>
          </cell>
          <cell r="Q123">
            <v>27.91</v>
          </cell>
          <cell r="R123">
            <v>27.92</v>
          </cell>
          <cell r="W123" t="str">
            <v>내경</v>
          </cell>
          <cell r="X123">
            <v>20.329999999999998</v>
          </cell>
          <cell r="Y123">
            <v>20.28</v>
          </cell>
          <cell r="Z123">
            <v>20.3</v>
          </cell>
          <cell r="AA123">
            <v>20.350000000000001</v>
          </cell>
        </row>
        <row r="124">
          <cell r="A124" t="str">
            <v>SI1638_20250915</v>
          </cell>
          <cell r="B124" t="str">
            <v>장세래</v>
          </cell>
          <cell r="C124">
            <v>45915</v>
          </cell>
          <cell r="D124" t="str">
            <v>헤라 시그니아 바이탈리프팅크림 소용량 15ml 26AD 내용기</v>
          </cell>
          <cell r="E124" t="str">
            <v>외경</v>
          </cell>
          <cell r="F124">
            <v>37.659999999999997</v>
          </cell>
          <cell r="G124">
            <v>37.61</v>
          </cell>
          <cell r="H124">
            <v>37.65</v>
          </cell>
          <cell r="I124">
            <v>37.75</v>
          </cell>
          <cell r="N124" t="str">
            <v>언더컷</v>
          </cell>
          <cell r="O124">
            <v>35.01</v>
          </cell>
          <cell r="P124">
            <v>34.97</v>
          </cell>
          <cell r="Q124">
            <v>34.97</v>
          </cell>
          <cell r="R124">
            <v>34.979999999999997</v>
          </cell>
          <cell r="W124" t="str">
            <v>내경</v>
          </cell>
          <cell r="X124">
            <v>29.61</v>
          </cell>
          <cell r="Y124">
            <v>29.73</v>
          </cell>
          <cell r="Z124">
            <v>29.82</v>
          </cell>
          <cell r="AA124">
            <v>29.7</v>
          </cell>
        </row>
        <row r="125">
          <cell r="A125" t="str">
            <v>SI1640_20250923</v>
          </cell>
          <cell r="B125" t="str">
            <v>장세래</v>
          </cell>
          <cell r="C125">
            <v>45923</v>
          </cell>
          <cell r="D125" t="str">
            <v>헤라 시그니아 바이탈리프팅크림 소용량 15ml 26AD 내캡</v>
          </cell>
          <cell r="E125" t="str">
            <v>언더컷</v>
          </cell>
          <cell r="F125">
            <v>44.61</v>
          </cell>
          <cell r="G125">
            <v>44.5</v>
          </cell>
          <cell r="H125">
            <v>44.55</v>
          </cell>
          <cell r="I125">
            <v>44.6</v>
          </cell>
          <cell r="N125" t="str">
            <v>나사경</v>
          </cell>
          <cell r="O125">
            <v>38.82</v>
          </cell>
          <cell r="P125">
            <v>38.74</v>
          </cell>
          <cell r="Q125">
            <v>38.82</v>
          </cell>
          <cell r="R125">
            <v>38.78</v>
          </cell>
          <cell r="W125">
            <v>0</v>
          </cell>
        </row>
        <row r="126">
          <cell r="A126" t="str">
            <v>SI1640_20250916</v>
          </cell>
          <cell r="B126" t="str">
            <v>장세래</v>
          </cell>
          <cell r="C126">
            <v>45916</v>
          </cell>
          <cell r="D126" t="str">
            <v>헤라 시그니아 바이탈리프팅크림 소용량 15ml 26AD 내캡</v>
          </cell>
          <cell r="E126" t="str">
            <v>언더컷</v>
          </cell>
          <cell r="F126">
            <v>44.53</v>
          </cell>
          <cell r="G126">
            <v>44.53</v>
          </cell>
          <cell r="H126">
            <v>44.54</v>
          </cell>
          <cell r="I126">
            <v>44.52</v>
          </cell>
          <cell r="N126" t="str">
            <v>나사경</v>
          </cell>
          <cell r="O126">
            <v>38.799999999999997</v>
          </cell>
          <cell r="P126">
            <v>38.799999999999997</v>
          </cell>
          <cell r="Q126">
            <v>38.83</v>
          </cell>
          <cell r="R126">
            <v>38.81</v>
          </cell>
          <cell r="W126">
            <v>0</v>
          </cell>
        </row>
        <row r="127">
          <cell r="A127" t="str">
            <v>SI1641_20250916</v>
          </cell>
          <cell r="B127" t="str">
            <v>장세래</v>
          </cell>
          <cell r="C127">
            <v>45916</v>
          </cell>
          <cell r="D127" t="str">
            <v>헤라 시그니아 유스퍼밍 아이크림 소용량 5mL(26AD 캡</v>
          </cell>
          <cell r="E127" t="str">
            <v>외경</v>
          </cell>
          <cell r="F127">
            <v>39.81</v>
          </cell>
          <cell r="G127">
            <v>39.869999999999997</v>
          </cell>
          <cell r="H127">
            <v>39.81</v>
          </cell>
          <cell r="I127">
            <v>39.85</v>
          </cell>
          <cell r="N127" t="str">
            <v>나사경</v>
          </cell>
          <cell r="O127">
            <v>34.33</v>
          </cell>
          <cell r="P127">
            <v>34.409999999999997</v>
          </cell>
          <cell r="Q127">
            <v>34.43</v>
          </cell>
          <cell r="R127">
            <v>34.340000000000003</v>
          </cell>
          <cell r="W127">
            <v>0</v>
          </cell>
        </row>
        <row r="128">
          <cell r="A128" t="str">
            <v>SI1641_20250925</v>
          </cell>
          <cell r="B128" t="str">
            <v>유재호</v>
          </cell>
          <cell r="C128">
            <v>45925</v>
          </cell>
          <cell r="D128" t="str">
            <v>헤라 시그니아 유스퍼밍 아이크림 소용량 5mL(26AD 캡</v>
          </cell>
          <cell r="E128" t="str">
            <v>외경</v>
          </cell>
          <cell r="F128">
            <v>39.869999999999997</v>
          </cell>
          <cell r="G128">
            <v>39.83</v>
          </cell>
          <cell r="H128">
            <v>39.9</v>
          </cell>
          <cell r="I128">
            <v>39.83</v>
          </cell>
          <cell r="N128" t="str">
            <v>나사경</v>
          </cell>
          <cell r="O128">
            <v>34.369999999999997</v>
          </cell>
          <cell r="P128">
            <v>34.47</v>
          </cell>
          <cell r="Q128">
            <v>34.43</v>
          </cell>
          <cell r="R128">
            <v>34.380000000000003</v>
          </cell>
          <cell r="W128">
            <v>0</v>
          </cell>
        </row>
        <row r="129">
          <cell r="A129" t="str">
            <v>SI1628_20250911</v>
          </cell>
          <cell r="B129">
            <v>0</v>
          </cell>
          <cell r="C129">
            <v>45911</v>
          </cell>
          <cell r="D129" t="str">
            <v>설화수 진설명작크림 (견) 10ML (AD 단용기</v>
          </cell>
          <cell r="E129" t="str">
            <v>나사경</v>
          </cell>
          <cell r="F129">
            <v>46.45</v>
          </cell>
          <cell r="G129">
            <v>46.43</v>
          </cell>
          <cell r="H129">
            <v>46.4</v>
          </cell>
          <cell r="I129">
            <v>46.45</v>
          </cell>
          <cell r="N129" t="str">
            <v>외경</v>
          </cell>
          <cell r="O129">
            <v>46.71</v>
          </cell>
          <cell r="P129">
            <v>46.7</v>
          </cell>
          <cell r="Q129">
            <v>46.72</v>
          </cell>
          <cell r="R129">
            <v>46.69</v>
          </cell>
          <cell r="W129" t="str">
            <v>언더컷</v>
          </cell>
          <cell r="X129">
            <v>44.94</v>
          </cell>
          <cell r="Y129">
            <v>44.93</v>
          </cell>
          <cell r="Z129">
            <v>44.96</v>
          </cell>
          <cell r="AA129">
            <v>44.93</v>
          </cell>
        </row>
        <row r="130">
          <cell r="A130" t="str">
            <v>SI1632_20250911</v>
          </cell>
          <cell r="B130">
            <v>0</v>
          </cell>
          <cell r="C130">
            <v>45911</v>
          </cell>
          <cell r="D130" t="str">
            <v>설화수 진설명작크림 (견) 5ML (AD 단용기</v>
          </cell>
          <cell r="E130" t="str">
            <v>나사경</v>
          </cell>
          <cell r="F130">
            <v>36</v>
          </cell>
          <cell r="G130">
            <v>35.93</v>
          </cell>
          <cell r="H130">
            <v>36.020000000000003</v>
          </cell>
          <cell r="I130">
            <v>35.97</v>
          </cell>
          <cell r="N130" t="str">
            <v>외경</v>
          </cell>
          <cell r="O130">
            <v>36.119999999999997</v>
          </cell>
          <cell r="P130">
            <v>36.11</v>
          </cell>
          <cell r="Q130">
            <v>36.15</v>
          </cell>
          <cell r="R130">
            <v>36.06</v>
          </cell>
          <cell r="W130" t="str">
            <v>언더컷</v>
          </cell>
          <cell r="X130">
            <v>34.61</v>
          </cell>
          <cell r="Y130">
            <v>34.590000000000003</v>
          </cell>
          <cell r="Z130">
            <v>34.65</v>
          </cell>
          <cell r="AA130">
            <v>34.630000000000003</v>
          </cell>
        </row>
        <row r="131">
          <cell r="A131" t="str">
            <v>SI1619_20250911</v>
          </cell>
          <cell r="B131" t="str">
            <v>유재호</v>
          </cell>
          <cell r="C131">
            <v>45911</v>
          </cell>
          <cell r="D131" t="str">
            <v>설화수 진설명작크림 60ML (26AD 외용기</v>
          </cell>
          <cell r="E131" t="str">
            <v>나사경</v>
          </cell>
          <cell r="F131">
            <v>76.31</v>
          </cell>
          <cell r="G131">
            <v>76.319999999999993</v>
          </cell>
          <cell r="N131" t="str">
            <v>언더컷B</v>
          </cell>
          <cell r="O131">
            <v>71.63</v>
          </cell>
          <cell r="P131">
            <v>71.63</v>
          </cell>
          <cell r="W131" t="str">
            <v>언더컷</v>
          </cell>
          <cell r="X131">
            <v>73.02</v>
          </cell>
          <cell r="Y131">
            <v>73.010000000000005</v>
          </cell>
        </row>
        <row r="132">
          <cell r="A132" t="str">
            <v>SI1614_20250911</v>
          </cell>
          <cell r="B132" t="str">
            <v>유재호</v>
          </cell>
          <cell r="C132">
            <v>45911</v>
          </cell>
          <cell r="D132" t="str">
            <v>설화수 진설명작크림 60ML (26AD 내캡</v>
          </cell>
          <cell r="E132" t="str">
            <v>키잡이</v>
          </cell>
          <cell r="F132">
            <v>82.11</v>
          </cell>
          <cell r="G132">
            <v>82.04</v>
          </cell>
          <cell r="N132" t="str">
            <v>언더컷</v>
          </cell>
          <cell r="O132">
            <v>81.08</v>
          </cell>
          <cell r="P132">
            <v>81.08</v>
          </cell>
          <cell r="W132" t="str">
            <v>언더컷2</v>
          </cell>
          <cell r="X132">
            <v>80.13</v>
          </cell>
          <cell r="Y132">
            <v>80.040000000000006</v>
          </cell>
        </row>
        <row r="133">
          <cell r="A133" t="str">
            <v>SI1618_20250911</v>
          </cell>
          <cell r="B133" t="str">
            <v>유재호</v>
          </cell>
          <cell r="C133">
            <v>45911</v>
          </cell>
          <cell r="D133" t="str">
            <v>설화수 진설명작크림 60ML (26AD 내용기</v>
          </cell>
          <cell r="E133" t="str">
            <v>언더컷</v>
          </cell>
          <cell r="F133">
            <v>62</v>
          </cell>
          <cell r="G133">
            <v>61.99</v>
          </cell>
          <cell r="N133" t="str">
            <v>언더컷2</v>
          </cell>
          <cell r="W133" t="str">
            <v>내경</v>
          </cell>
          <cell r="X133">
            <v>59.24</v>
          </cell>
          <cell r="Y133">
            <v>59.21</v>
          </cell>
        </row>
        <row r="134">
          <cell r="A134" t="str">
            <v>SI1620_20250904</v>
          </cell>
          <cell r="B134" t="str">
            <v>유재호</v>
          </cell>
          <cell r="C134">
            <v>45904</v>
          </cell>
          <cell r="D134" t="str">
            <v>설화수 진설명작크림 60ML (26AD 용기받침 사출</v>
          </cell>
          <cell r="E134" t="str">
            <v>외경</v>
          </cell>
          <cell r="F134">
            <v>90.41</v>
          </cell>
          <cell r="G134">
            <v>90.41</v>
          </cell>
          <cell r="N134" t="str">
            <v>언더컷</v>
          </cell>
          <cell r="O134">
            <v>76.2</v>
          </cell>
          <cell r="P134">
            <v>76.209999999999994</v>
          </cell>
          <cell r="W134">
            <v>0</v>
          </cell>
        </row>
        <row r="135">
          <cell r="A135" t="str">
            <v>SI1641_20250903</v>
          </cell>
          <cell r="B135" t="str">
            <v>유재호</v>
          </cell>
          <cell r="C135">
            <v>45903</v>
          </cell>
          <cell r="D135" t="str">
            <v>헤라 시그니아 유스퍼밍 아이크림 소용량 5mL(26AD 캡</v>
          </cell>
          <cell r="E135" t="str">
            <v>외경</v>
          </cell>
          <cell r="F135">
            <v>39.9</v>
          </cell>
          <cell r="G135">
            <v>39.950000000000003</v>
          </cell>
          <cell r="H135">
            <v>39.85</v>
          </cell>
          <cell r="I135">
            <v>39.869999999999997</v>
          </cell>
          <cell r="N135" t="str">
            <v>나사경</v>
          </cell>
          <cell r="O135">
            <v>34.35</v>
          </cell>
          <cell r="P135">
            <v>34.340000000000003</v>
          </cell>
          <cell r="Q135">
            <v>34.4</v>
          </cell>
          <cell r="R135">
            <v>34.380000000000003</v>
          </cell>
          <cell r="W135">
            <v>0</v>
          </cell>
        </row>
        <row r="136">
          <cell r="A136" t="str">
            <v>SI1640_20250903</v>
          </cell>
          <cell r="B136" t="str">
            <v>유재호</v>
          </cell>
          <cell r="C136">
            <v>45903</v>
          </cell>
          <cell r="D136" t="str">
            <v>헤라 시그니아 바이탈리프팅크림 소용량 15ml 26AD 내캡</v>
          </cell>
          <cell r="E136" t="str">
            <v>외경</v>
          </cell>
          <cell r="F136">
            <v>45.19</v>
          </cell>
          <cell r="G136">
            <v>45.26</v>
          </cell>
          <cell r="H136">
            <v>45.23</v>
          </cell>
          <cell r="I136">
            <v>45.21</v>
          </cell>
          <cell r="N136" t="str">
            <v>나사경</v>
          </cell>
          <cell r="O136">
            <v>38.479999999999997</v>
          </cell>
          <cell r="P136">
            <v>38.49</v>
          </cell>
          <cell r="Q136">
            <v>38.49</v>
          </cell>
          <cell r="R136">
            <v>38.5</v>
          </cell>
          <cell r="W136">
            <v>0</v>
          </cell>
        </row>
        <row r="137">
          <cell r="A137" t="str">
            <v>SI1632_20250812</v>
          </cell>
          <cell r="B137" t="str">
            <v>한창구</v>
          </cell>
          <cell r="C137">
            <v>45896</v>
          </cell>
          <cell r="D137" t="str">
            <v>설화수 진설명작크림 (견) 5ML (AD 단용기</v>
          </cell>
          <cell r="E137" t="str">
            <v>입구경</v>
          </cell>
          <cell r="F137">
            <v>27.54</v>
          </cell>
          <cell r="G137">
            <v>27.56</v>
          </cell>
          <cell r="H137">
            <v>27.52</v>
          </cell>
          <cell r="I137">
            <v>27.56</v>
          </cell>
          <cell r="N137" t="str">
            <v>나사경</v>
          </cell>
          <cell r="O137">
            <v>35.89</v>
          </cell>
          <cell r="P137">
            <v>35.89</v>
          </cell>
          <cell r="Q137">
            <v>35.9</v>
          </cell>
          <cell r="R137">
            <v>35.89</v>
          </cell>
          <cell r="W137" t="str">
            <v>외경</v>
          </cell>
          <cell r="X137">
            <v>36.01</v>
          </cell>
          <cell r="Y137">
            <v>36.04</v>
          </cell>
          <cell r="Z137">
            <v>36.06</v>
          </cell>
          <cell r="AA137">
            <v>36.04</v>
          </cell>
        </row>
        <row r="138">
          <cell r="A138" t="str">
            <v>SI1628_20250812</v>
          </cell>
          <cell r="B138" t="str">
            <v>한창구</v>
          </cell>
          <cell r="C138">
            <v>45896</v>
          </cell>
          <cell r="D138" t="str">
            <v>설화수 진설명작크림 (견) 10ML (AD 단용기</v>
          </cell>
          <cell r="E138" t="str">
            <v>나사경</v>
          </cell>
          <cell r="F138">
            <v>46.34</v>
          </cell>
          <cell r="G138">
            <v>46.39</v>
          </cell>
          <cell r="H138">
            <v>46.35</v>
          </cell>
          <cell r="I138">
            <v>46.35</v>
          </cell>
          <cell r="N138" t="str">
            <v>외경</v>
          </cell>
          <cell r="O138">
            <v>46.64</v>
          </cell>
          <cell r="P138">
            <v>46.65</v>
          </cell>
          <cell r="Q138">
            <v>46.61</v>
          </cell>
          <cell r="R138">
            <v>46.63</v>
          </cell>
          <cell r="W138" t="str">
            <v>언더컷</v>
          </cell>
          <cell r="X138">
            <v>44.8</v>
          </cell>
          <cell r="Y138">
            <v>44.86</v>
          </cell>
          <cell r="Z138">
            <v>44.84</v>
          </cell>
          <cell r="AA138">
            <v>44.86</v>
          </cell>
        </row>
        <row r="139">
          <cell r="A139" t="str">
            <v>SI1639_20250902</v>
          </cell>
          <cell r="B139" t="str">
            <v>유재호</v>
          </cell>
          <cell r="C139">
            <v>45902</v>
          </cell>
          <cell r="D139" t="str">
            <v>헤라 시그니아 바이탈리프팅크림 소용량 15ml 26AD 외캡</v>
          </cell>
          <cell r="E139" t="str">
            <v>외경</v>
          </cell>
          <cell r="F139">
            <v>47.2</v>
          </cell>
          <cell r="G139">
            <v>47.2</v>
          </cell>
          <cell r="H139">
            <v>47.18</v>
          </cell>
          <cell r="I139">
            <v>47.22</v>
          </cell>
          <cell r="N139" t="str">
            <v>언더컷</v>
          </cell>
          <cell r="O139">
            <v>43.73</v>
          </cell>
          <cell r="P139">
            <v>43.71</v>
          </cell>
          <cell r="Q139">
            <v>43.72</v>
          </cell>
          <cell r="R139">
            <v>43.73</v>
          </cell>
          <cell r="W139">
            <v>0</v>
          </cell>
        </row>
        <row r="140">
          <cell r="A140" t="str">
            <v>SI1638_20250902</v>
          </cell>
          <cell r="B140" t="str">
            <v>유재호</v>
          </cell>
          <cell r="C140">
            <v>45902</v>
          </cell>
          <cell r="D140" t="str">
            <v>헤라 시그니아 바이탈리프팅크림 소용량 15ml 26AD 내용기</v>
          </cell>
          <cell r="E140" t="str">
            <v>외경</v>
          </cell>
          <cell r="F140">
            <v>37.69</v>
          </cell>
          <cell r="G140">
            <v>37.72</v>
          </cell>
          <cell r="H140">
            <v>37.76</v>
          </cell>
          <cell r="I140">
            <v>37.659999999999997</v>
          </cell>
          <cell r="N140" t="str">
            <v>언더컷</v>
          </cell>
          <cell r="O140">
            <v>34.869999999999997</v>
          </cell>
          <cell r="P140">
            <v>34.89</v>
          </cell>
          <cell r="Q140">
            <v>34.880000000000003</v>
          </cell>
          <cell r="R140">
            <v>34.840000000000003</v>
          </cell>
          <cell r="W140" t="str">
            <v>내경</v>
          </cell>
          <cell r="X140">
            <v>29.76</v>
          </cell>
          <cell r="Y140">
            <v>29.84</v>
          </cell>
          <cell r="Z140">
            <v>29.78</v>
          </cell>
          <cell r="AA140">
            <v>29.81</v>
          </cell>
        </row>
        <row r="141">
          <cell r="A141" t="str">
            <v>SI1642_20250902</v>
          </cell>
          <cell r="B141" t="str">
            <v>유재호</v>
          </cell>
          <cell r="C141">
            <v>45902</v>
          </cell>
          <cell r="D141" t="str">
            <v>헤라 시그니아 유스퍼밍 아이크림 소용량 5mL(26AD 내용기</v>
          </cell>
          <cell r="E141" t="str">
            <v>외경</v>
          </cell>
          <cell r="F141">
            <v>33.479999999999997</v>
          </cell>
          <cell r="G141">
            <v>33.520000000000003</v>
          </cell>
          <cell r="H141">
            <v>33.479999999999997</v>
          </cell>
          <cell r="I141">
            <v>33.479999999999997</v>
          </cell>
          <cell r="N141" t="str">
            <v>언더컷</v>
          </cell>
          <cell r="O141">
            <v>27.66</v>
          </cell>
          <cell r="P141">
            <v>27.72</v>
          </cell>
          <cell r="Q141">
            <v>27.68</v>
          </cell>
          <cell r="R141">
            <v>27.7</v>
          </cell>
          <cell r="W141" t="str">
            <v>내경</v>
          </cell>
          <cell r="X141">
            <v>20.34</v>
          </cell>
          <cell r="Y141">
            <v>20.329999999999998</v>
          </cell>
          <cell r="Z141">
            <v>20.36</v>
          </cell>
          <cell r="AA141">
            <v>20.39</v>
          </cell>
        </row>
        <row r="142">
          <cell r="A142" t="str">
            <v>SI1637_20250828</v>
          </cell>
          <cell r="B142" t="str">
            <v>장세래</v>
          </cell>
          <cell r="C142">
            <v>45897</v>
          </cell>
          <cell r="D142" t="str">
            <v>헤라 시그니아 바이탈리프팅크림 소용량 15ml 26AD 외용기</v>
          </cell>
          <cell r="E142" t="str">
            <v>외경</v>
          </cell>
          <cell r="F142">
            <v>47.82</v>
          </cell>
          <cell r="G142">
            <v>47.85</v>
          </cell>
          <cell r="H142">
            <v>47.82</v>
          </cell>
          <cell r="I142">
            <v>47.86</v>
          </cell>
          <cell r="N142" t="str">
            <v>내경</v>
          </cell>
          <cell r="O142">
            <v>34.75</v>
          </cell>
          <cell r="P142">
            <v>34.78</v>
          </cell>
          <cell r="Q142">
            <v>34.76</v>
          </cell>
          <cell r="R142">
            <v>34.79</v>
          </cell>
          <cell r="W142" t="str">
            <v>B</v>
          </cell>
        </row>
        <row r="143">
          <cell r="A143" t="str">
            <v>SI1643_20250828</v>
          </cell>
          <cell r="B143" t="str">
            <v>장세래</v>
          </cell>
          <cell r="C143">
            <v>45897</v>
          </cell>
          <cell r="D143" t="str">
            <v>헤라 시그니아 유스퍼밍 아이크림 소용량 5mL(26AD 외용기</v>
          </cell>
          <cell r="E143" t="str">
            <v>외경</v>
          </cell>
          <cell r="F143">
            <v>40.44</v>
          </cell>
          <cell r="G143">
            <v>40.450000000000003</v>
          </cell>
          <cell r="H143">
            <v>40.44</v>
          </cell>
          <cell r="I143">
            <v>40.44</v>
          </cell>
          <cell r="N143" t="str">
            <v>내경</v>
          </cell>
          <cell r="O143">
            <v>27.64</v>
          </cell>
          <cell r="P143">
            <v>27.65</v>
          </cell>
          <cell r="Q143">
            <v>27.67</v>
          </cell>
          <cell r="R143">
            <v>27.67</v>
          </cell>
          <cell r="W143">
            <v>0</v>
          </cell>
        </row>
        <row r="144">
          <cell r="A144" t="str">
            <v>SI1627_20250812</v>
          </cell>
          <cell r="B144" t="str">
            <v>장세래</v>
          </cell>
          <cell r="C144">
            <v>45895</v>
          </cell>
          <cell r="D144" t="str">
            <v>설화수 진설명작크림 (견) 10ML (AD 용기받침</v>
          </cell>
          <cell r="E144" t="str">
            <v>내경</v>
          </cell>
          <cell r="F144">
            <v>44.07</v>
          </cell>
          <cell r="G144">
            <v>44.09</v>
          </cell>
          <cell r="H144">
            <v>44.08</v>
          </cell>
          <cell r="I144">
            <v>44.1</v>
          </cell>
          <cell r="N144" t="str">
            <v>언더컷</v>
          </cell>
          <cell r="O144">
            <v>44.19</v>
          </cell>
          <cell r="P144">
            <v>44.22</v>
          </cell>
          <cell r="Q144">
            <v>44.17</v>
          </cell>
          <cell r="R144">
            <v>44.18</v>
          </cell>
          <cell r="W144" t="str">
            <v>외경</v>
          </cell>
          <cell r="X144">
            <v>59.78</v>
          </cell>
          <cell r="Y144">
            <v>59.78</v>
          </cell>
          <cell r="Z144">
            <v>59.79</v>
          </cell>
          <cell r="AA144">
            <v>59.8</v>
          </cell>
        </row>
        <row r="145">
          <cell r="A145" t="str">
            <v>SI1633_20250812</v>
          </cell>
          <cell r="B145" t="str">
            <v>장세래</v>
          </cell>
          <cell r="C145">
            <v>45895</v>
          </cell>
          <cell r="D145" t="str">
            <v>설화수 진설명작크림 (견) 5ML (AD 용기받침</v>
          </cell>
          <cell r="E145" t="str">
            <v>언더컷</v>
          </cell>
          <cell r="F145">
            <v>33.74</v>
          </cell>
          <cell r="G145">
            <v>33.770000000000003</v>
          </cell>
          <cell r="H145">
            <v>33.74</v>
          </cell>
          <cell r="I145">
            <v>33.76</v>
          </cell>
          <cell r="N145" t="str">
            <v>키잡이</v>
          </cell>
          <cell r="O145">
            <v>35.32</v>
          </cell>
          <cell r="P145">
            <v>35.33</v>
          </cell>
          <cell r="Q145">
            <v>35.33</v>
          </cell>
          <cell r="R145">
            <v>35.33</v>
          </cell>
          <cell r="W145" t="str">
            <v>외경</v>
          </cell>
          <cell r="X145">
            <v>48.1</v>
          </cell>
          <cell r="Y145">
            <v>48.09</v>
          </cell>
          <cell r="Z145">
            <v>48.09</v>
          </cell>
          <cell r="AA145">
            <v>48.11</v>
          </cell>
        </row>
        <row r="146">
          <cell r="A146" t="str">
            <v>SI1631_20250812</v>
          </cell>
          <cell r="B146">
            <v>0</v>
          </cell>
          <cell r="C146">
            <v>0</v>
          </cell>
          <cell r="D146" t="str">
            <v>설화수 진설명작크림 (견) 5ML (AD 내캡</v>
          </cell>
          <cell r="E146" t="str">
            <v>나사경</v>
          </cell>
          <cell r="F146">
            <v>34.76</v>
          </cell>
          <cell r="G146">
            <v>34.68</v>
          </cell>
          <cell r="H146">
            <v>34.67</v>
          </cell>
          <cell r="I146">
            <v>34.71</v>
          </cell>
          <cell r="N146" t="str">
            <v>외경</v>
          </cell>
          <cell r="O146">
            <v>41.37</v>
          </cell>
          <cell r="P146">
            <v>41.39</v>
          </cell>
          <cell r="Q146">
            <v>41.45</v>
          </cell>
          <cell r="R146">
            <v>41.4</v>
          </cell>
          <cell r="W146" t="str">
            <v>키잡이</v>
          </cell>
          <cell r="X146">
            <v>40.89</v>
          </cell>
          <cell r="Y146">
            <v>40.880000000000003</v>
          </cell>
          <cell r="Z146">
            <v>40.840000000000003</v>
          </cell>
          <cell r="AA146">
            <v>40.93</v>
          </cell>
        </row>
        <row r="147">
          <cell r="A147" t="str">
            <v>SI1626_20250812</v>
          </cell>
          <cell r="B147">
            <v>0</v>
          </cell>
          <cell r="C147">
            <v>0</v>
          </cell>
          <cell r="D147" t="str">
            <v>설화수 진설명작크림 (견) 10ML (AD 내캡</v>
          </cell>
          <cell r="E147" t="str">
            <v>내경</v>
          </cell>
          <cell r="F147">
            <v>47.15</v>
          </cell>
          <cell r="G147">
            <v>47.24</v>
          </cell>
          <cell r="H147">
            <v>47.18</v>
          </cell>
          <cell r="I147">
            <v>47.16</v>
          </cell>
          <cell r="N147" t="str">
            <v>외경</v>
          </cell>
          <cell r="O147">
            <v>51.68</v>
          </cell>
          <cell r="P147">
            <v>51.69</v>
          </cell>
          <cell r="Q147">
            <v>51.73</v>
          </cell>
          <cell r="R147">
            <v>51.66</v>
          </cell>
          <cell r="W147" t="str">
            <v>키잡이</v>
          </cell>
          <cell r="X147">
            <v>51.4</v>
          </cell>
          <cell r="Y147">
            <v>51.4</v>
          </cell>
          <cell r="Z147">
            <v>51.42</v>
          </cell>
          <cell r="AA147">
            <v>51.39</v>
          </cell>
        </row>
        <row r="148">
          <cell r="A148" t="str">
            <v>SI1630_20250812</v>
          </cell>
          <cell r="B148" t="str">
            <v>장세래</v>
          </cell>
          <cell r="C148">
            <v>45894</v>
          </cell>
          <cell r="D148" t="str">
            <v>설화수 진설명작크림 (견) 5ML (AD 외캡</v>
          </cell>
          <cell r="E148" t="str">
            <v>내경</v>
          </cell>
          <cell r="F148">
            <v>39.9</v>
          </cell>
          <cell r="G148">
            <v>39.94</v>
          </cell>
          <cell r="H148">
            <v>39.94</v>
          </cell>
          <cell r="I148">
            <v>39.94</v>
          </cell>
          <cell r="N148" t="str">
            <v>키잡이</v>
          </cell>
          <cell r="O148">
            <v>41.23</v>
          </cell>
          <cell r="P148">
            <v>41.23</v>
          </cell>
          <cell r="Q148">
            <v>41.23</v>
          </cell>
          <cell r="R148">
            <v>41.22</v>
          </cell>
          <cell r="W148" t="str">
            <v>외경</v>
          </cell>
          <cell r="X148">
            <v>46.79</v>
          </cell>
          <cell r="Y148">
            <v>46.78</v>
          </cell>
          <cell r="Z148">
            <v>46.77</v>
          </cell>
          <cell r="AA148">
            <v>46.78</v>
          </cell>
        </row>
        <row r="149">
          <cell r="A149" t="str">
            <v>SI1625_20250812</v>
          </cell>
          <cell r="B149" t="str">
            <v>장세래</v>
          </cell>
          <cell r="C149">
            <v>45894</v>
          </cell>
          <cell r="D149" t="str">
            <v>설화수 진설명작크림 (견) 10ML (AD 외캡</v>
          </cell>
          <cell r="E149" t="str">
            <v>내경</v>
          </cell>
          <cell r="F149">
            <v>50.35</v>
          </cell>
          <cell r="G149">
            <v>50.38</v>
          </cell>
          <cell r="H149">
            <v>50.37</v>
          </cell>
          <cell r="I149">
            <v>50.38</v>
          </cell>
          <cell r="N149" t="str">
            <v>외경</v>
          </cell>
          <cell r="O149">
            <v>58.23</v>
          </cell>
          <cell r="P149">
            <v>58.21</v>
          </cell>
          <cell r="Q149">
            <v>58.22</v>
          </cell>
          <cell r="R149">
            <v>58.21</v>
          </cell>
          <cell r="W149" t="str">
            <v>언더컷</v>
          </cell>
          <cell r="X149">
            <v>50.35</v>
          </cell>
          <cell r="Y149">
            <v>50.39</v>
          </cell>
          <cell r="Z149">
            <v>50.44</v>
          </cell>
          <cell r="AA149">
            <v>50.36</v>
          </cell>
        </row>
        <row r="150">
          <cell r="A150" t="str">
            <v>SI1629_20250812</v>
          </cell>
          <cell r="B150" t="str">
            <v>유재호</v>
          </cell>
          <cell r="C150">
            <v>45891</v>
          </cell>
          <cell r="D150" t="str">
            <v>설화수 진설명작크림 (견) 10ML (AD 사출덮개</v>
          </cell>
          <cell r="E150" t="str">
            <v>내경</v>
          </cell>
          <cell r="F150">
            <v>34.78</v>
          </cell>
          <cell r="G150">
            <v>34.78</v>
          </cell>
          <cell r="H150">
            <v>34.770000000000003</v>
          </cell>
          <cell r="I150">
            <v>34.770000000000003</v>
          </cell>
          <cell r="N150" t="str">
            <v>외경</v>
          </cell>
          <cell r="O150">
            <v>37.21</v>
          </cell>
          <cell r="P150">
            <v>37.18</v>
          </cell>
          <cell r="Q150">
            <v>37.19</v>
          </cell>
          <cell r="R150">
            <v>37.22</v>
          </cell>
          <cell r="W150" t="str">
            <v>외고</v>
          </cell>
          <cell r="X150">
            <v>1.03</v>
          </cell>
          <cell r="Y150">
            <v>1.02</v>
          </cell>
          <cell r="Z150">
            <v>1.04</v>
          </cell>
          <cell r="AA150">
            <v>1.04</v>
          </cell>
        </row>
        <row r="151">
          <cell r="A151" t="str">
            <v>SI1616_20250812</v>
          </cell>
          <cell r="B151" t="str">
            <v>유재호</v>
          </cell>
          <cell r="C151">
            <v>45891</v>
          </cell>
          <cell r="D151" t="str">
            <v>설화수 진설명작크림 60ML (26AD 사출덮개</v>
          </cell>
          <cell r="E151" t="str">
            <v>A</v>
          </cell>
          <cell r="F151">
            <v>57.9</v>
          </cell>
          <cell r="G151">
            <v>57.91</v>
          </cell>
          <cell r="N151" t="str">
            <v>외경</v>
          </cell>
          <cell r="O151">
            <v>62.75</v>
          </cell>
          <cell r="P151">
            <v>62.84</v>
          </cell>
          <cell r="W151" t="str">
            <v>내경</v>
          </cell>
          <cell r="X151">
            <v>56.09</v>
          </cell>
          <cell r="Y151">
            <v>56.18</v>
          </cell>
        </row>
        <row r="152">
          <cell r="A152" t="str">
            <v>SI1634_20250822</v>
          </cell>
          <cell r="B152" t="str">
            <v>유재호</v>
          </cell>
          <cell r="C152">
            <v>45891</v>
          </cell>
          <cell r="D152" t="str">
            <v>설화수 진설명작크림 (견) 5ML (AD 사출덮개</v>
          </cell>
          <cell r="E152" t="str">
            <v>내경</v>
          </cell>
          <cell r="F152">
            <v>24.44</v>
          </cell>
          <cell r="G152">
            <v>24.43</v>
          </cell>
          <cell r="H152">
            <v>24.43</v>
          </cell>
          <cell r="I152">
            <v>24.45</v>
          </cell>
          <cell r="N152" t="str">
            <v>외경</v>
          </cell>
          <cell r="O152">
            <v>26.86</v>
          </cell>
          <cell r="P152">
            <v>26.87</v>
          </cell>
          <cell r="Q152">
            <v>26.82</v>
          </cell>
          <cell r="R152">
            <v>26.91</v>
          </cell>
          <cell r="W152" t="str">
            <v>외고</v>
          </cell>
          <cell r="X152">
            <v>1.02</v>
          </cell>
          <cell r="Y152">
            <v>1.01</v>
          </cell>
          <cell r="Z152">
            <v>1.02</v>
          </cell>
          <cell r="AA152">
            <v>1.05</v>
          </cell>
        </row>
        <row r="153">
          <cell r="A153" t="str">
            <v>SI1614_20250812</v>
          </cell>
          <cell r="B153" t="str">
            <v>유재호</v>
          </cell>
          <cell r="C153">
            <v>45889</v>
          </cell>
          <cell r="D153" t="str">
            <v>설화수 진설명작크림 60ML (26AD 내캡</v>
          </cell>
          <cell r="E153" t="str">
            <v>키잡이</v>
          </cell>
          <cell r="F153">
            <v>82.09</v>
          </cell>
          <cell r="G153">
            <v>82.08</v>
          </cell>
          <cell r="N153" t="str">
            <v>언더컷</v>
          </cell>
          <cell r="O153">
            <v>80.89</v>
          </cell>
          <cell r="P153">
            <v>80.91</v>
          </cell>
          <cell r="W153" t="str">
            <v>언더컷2</v>
          </cell>
          <cell r="X153">
            <v>79.95</v>
          </cell>
          <cell r="Y153">
            <v>79.81</v>
          </cell>
        </row>
        <row r="154">
          <cell r="A154" t="str">
            <v>SI1618_20250812</v>
          </cell>
          <cell r="B154" t="str">
            <v>유재호</v>
          </cell>
          <cell r="C154">
            <v>45889</v>
          </cell>
          <cell r="D154" t="str">
            <v>설화수 진설명작크림 60ML (26AD 내용기</v>
          </cell>
          <cell r="E154" t="str">
            <v>언더컷</v>
          </cell>
          <cell r="F154">
            <v>62.06</v>
          </cell>
          <cell r="G154">
            <v>62.08</v>
          </cell>
          <cell r="N154" t="str">
            <v>언더컷2</v>
          </cell>
          <cell r="O154">
            <v>61.68</v>
          </cell>
          <cell r="P154">
            <v>61.69</v>
          </cell>
          <cell r="W154" t="str">
            <v>내경</v>
          </cell>
          <cell r="X154">
            <v>59.18</v>
          </cell>
          <cell r="Y154">
            <v>59.13</v>
          </cell>
        </row>
        <row r="155">
          <cell r="A155" t="str">
            <v>SI1622_20250812</v>
          </cell>
          <cell r="B155" t="str">
            <v>유재호</v>
          </cell>
          <cell r="C155">
            <v>45883</v>
          </cell>
          <cell r="D155" t="str">
            <v>설화수 진설명작크림 60ML (26AD 스파츌러대 사출</v>
          </cell>
          <cell r="E155" t="str">
            <v>외경</v>
          </cell>
          <cell r="F155">
            <v>62.79</v>
          </cell>
          <cell r="G155">
            <v>62.81</v>
          </cell>
          <cell r="H155">
            <v>62.77</v>
          </cell>
          <cell r="I155">
            <v>62.82</v>
          </cell>
          <cell r="N155" t="str">
            <v>외고</v>
          </cell>
          <cell r="W155">
            <v>0</v>
          </cell>
        </row>
        <row r="156">
          <cell r="A156" t="str">
            <v>SI1620_20250812</v>
          </cell>
          <cell r="B156" t="str">
            <v>유재호</v>
          </cell>
          <cell r="C156">
            <v>45883</v>
          </cell>
          <cell r="D156" t="str">
            <v>설화수 진설명작크림 60ML (26AD 용기받침 사출</v>
          </cell>
          <cell r="E156" t="str">
            <v>외경</v>
          </cell>
          <cell r="F156">
            <v>90.39</v>
          </cell>
          <cell r="G156">
            <v>90.39</v>
          </cell>
          <cell r="N156" t="str">
            <v>언더컷</v>
          </cell>
          <cell r="O156">
            <v>76.180000000000007</v>
          </cell>
          <cell r="P156">
            <v>76.2</v>
          </cell>
          <cell r="W156">
            <v>0</v>
          </cell>
        </row>
        <row r="157">
          <cell r="A157" t="str">
            <v>test_20250817</v>
          </cell>
          <cell r="F157">
            <v>10</v>
          </cell>
          <cell r="G157">
            <v>10</v>
          </cell>
          <cell r="H157">
            <v>10</v>
          </cell>
          <cell r="I157">
            <v>10.199999999999999</v>
          </cell>
          <cell r="J157">
            <v>11</v>
          </cell>
          <cell r="K157">
            <v>12</v>
          </cell>
          <cell r="L157">
            <v>10.6</v>
          </cell>
          <cell r="M157">
            <v>16.100000000000001</v>
          </cell>
          <cell r="O157">
            <v>1</v>
          </cell>
          <cell r="P157">
            <v>1</v>
          </cell>
          <cell r="Q157">
            <v>1</v>
          </cell>
          <cell r="R157">
            <v>1</v>
          </cell>
          <cell r="S157">
            <v>2</v>
          </cell>
          <cell r="T157">
            <v>2</v>
          </cell>
          <cell r="U157">
            <v>2</v>
          </cell>
          <cell r="V157">
            <v>2</v>
          </cell>
          <cell r="X157">
            <v>3</v>
          </cell>
          <cell r="Y157">
            <v>33</v>
          </cell>
          <cell r="Z157">
            <v>3</v>
          </cell>
          <cell r="AA157">
            <v>3</v>
          </cell>
          <cell r="AB157">
            <v>3</v>
          </cell>
          <cell r="AC157">
            <v>3</v>
          </cell>
          <cell r="AD157">
            <v>3</v>
          </cell>
          <cell r="AE157">
            <v>3</v>
          </cell>
        </row>
        <row r="158">
          <cell r="A158" t="str">
            <v>SI1621_20250812</v>
          </cell>
          <cell r="B158" t="str">
            <v>유재호</v>
          </cell>
          <cell r="C158">
            <v>45882</v>
          </cell>
          <cell r="D158" t="str">
            <v>설화수 진설명작크림 60ML (26AD 숄더장식 사출</v>
          </cell>
          <cell r="E158" t="str">
            <v>외경</v>
          </cell>
          <cell r="F158">
            <v>94.03</v>
          </cell>
          <cell r="G158">
            <v>94.07</v>
          </cell>
          <cell r="N158" t="str">
            <v>언더컷</v>
          </cell>
          <cell r="W158">
            <v>0</v>
          </cell>
        </row>
        <row r="159">
          <cell r="A159" t="str">
            <v>SI1615_20250812</v>
          </cell>
          <cell r="B159" t="str">
            <v>유재호</v>
          </cell>
          <cell r="C159">
            <v>45882</v>
          </cell>
          <cell r="D159" t="str">
            <v>설화수 진설명작크림 60ML (26AD 캡장식-하단링</v>
          </cell>
          <cell r="E159" t="str">
            <v>외경</v>
          </cell>
          <cell r="F159">
            <v>84.46</v>
          </cell>
          <cell r="G159">
            <v>84.49</v>
          </cell>
          <cell r="N159" t="str">
            <v>언더컷</v>
          </cell>
          <cell r="O159">
            <v>79.819999999999993</v>
          </cell>
          <cell r="P159">
            <v>79.78</v>
          </cell>
          <cell r="W159">
            <v>0</v>
          </cell>
        </row>
        <row r="160">
          <cell r="A160" t="str">
            <v>SI1617_20250812</v>
          </cell>
          <cell r="B160" t="str">
            <v>유재호</v>
          </cell>
          <cell r="C160">
            <v>45882</v>
          </cell>
          <cell r="D160" t="str">
            <v>설화수 진설명작크림 60ML (26AD 중용기</v>
          </cell>
          <cell r="E160" t="str">
            <v>외경</v>
          </cell>
          <cell r="F160">
            <v>64.64</v>
          </cell>
          <cell r="G160">
            <v>64.63</v>
          </cell>
          <cell r="N160" t="str">
            <v>언더컷</v>
          </cell>
          <cell r="O160">
            <v>61.58</v>
          </cell>
          <cell r="P160">
            <v>61.56</v>
          </cell>
          <cell r="W160">
            <v>0</v>
          </cell>
        </row>
        <row r="161">
          <cell r="A161" t="str">
            <v>SI1611_20250807</v>
          </cell>
          <cell r="B161" t="str">
            <v>장세래</v>
          </cell>
          <cell r="C161">
            <v>45876</v>
          </cell>
          <cell r="D161" t="str">
            <v>홀리추얼 울트라 너리싱 어드밴스드 토너 150ML 내캡</v>
          </cell>
          <cell r="E161" t="str">
            <v>A</v>
          </cell>
          <cell r="F161">
            <v>31.81</v>
          </cell>
          <cell r="G161">
            <v>31.84</v>
          </cell>
          <cell r="H161">
            <v>31.86</v>
          </cell>
          <cell r="I161">
            <v>31.84</v>
          </cell>
          <cell r="N161" t="str">
            <v>B</v>
          </cell>
          <cell r="O161">
            <v>30.8</v>
          </cell>
          <cell r="P161">
            <v>30.81</v>
          </cell>
          <cell r="Q161">
            <v>30.82</v>
          </cell>
          <cell r="R161">
            <v>30.84</v>
          </cell>
          <cell r="W161" t="str">
            <v>C</v>
          </cell>
          <cell r="X161">
            <v>18.649999999999999</v>
          </cell>
          <cell r="Y161">
            <v>18.64</v>
          </cell>
          <cell r="Z161">
            <v>18.649999999999999</v>
          </cell>
          <cell r="AA161">
            <v>18.66</v>
          </cell>
        </row>
        <row r="162">
          <cell r="A162" t="str">
            <v>SI1626_20250708</v>
          </cell>
          <cell r="B162" t="str">
            <v>유재호</v>
          </cell>
          <cell r="C162">
            <v>45869</v>
          </cell>
          <cell r="D162" t="str">
            <v>설화수 진설명작크림 (견) 10ML (AD 내캡</v>
          </cell>
          <cell r="E162" t="str">
            <v>내경</v>
          </cell>
          <cell r="F162">
            <v>47.28</v>
          </cell>
          <cell r="G162">
            <v>47.33</v>
          </cell>
          <cell r="H162">
            <v>47.35</v>
          </cell>
          <cell r="I162">
            <v>47.41</v>
          </cell>
          <cell r="N162" t="str">
            <v>외경</v>
          </cell>
          <cell r="O162">
            <v>51.63</v>
          </cell>
          <cell r="P162">
            <v>51.59</v>
          </cell>
          <cell r="Q162">
            <v>51.69</v>
          </cell>
          <cell r="R162">
            <v>51.61</v>
          </cell>
          <cell r="W162" t="str">
            <v>키잡이</v>
          </cell>
          <cell r="X162">
            <v>51.42</v>
          </cell>
          <cell r="Y162">
            <v>51.41</v>
          </cell>
          <cell r="Z162">
            <v>51.39</v>
          </cell>
          <cell r="AA162">
            <v>51.4</v>
          </cell>
        </row>
        <row r="163">
          <cell r="A163" t="str">
            <v>SI1631_20250708</v>
          </cell>
          <cell r="B163" t="str">
            <v>유재호</v>
          </cell>
          <cell r="C163">
            <v>45869</v>
          </cell>
          <cell r="D163" t="str">
            <v>설화수 진설명작크림 (견) 5ML (AD 내캡</v>
          </cell>
          <cell r="E163" t="str">
            <v>나사경</v>
          </cell>
          <cell r="F163">
            <v>34.700000000000003</v>
          </cell>
          <cell r="G163">
            <v>34.619999999999997</v>
          </cell>
          <cell r="H163">
            <v>34.659999999999997</v>
          </cell>
          <cell r="I163">
            <v>34.69</v>
          </cell>
          <cell r="N163" t="str">
            <v>외경</v>
          </cell>
          <cell r="O163">
            <v>41.2</v>
          </cell>
          <cell r="P163">
            <v>41.36</v>
          </cell>
          <cell r="Q163">
            <v>41.3</v>
          </cell>
          <cell r="R163">
            <v>41.3</v>
          </cell>
          <cell r="W163" t="str">
            <v>키잡이</v>
          </cell>
          <cell r="X163">
            <v>40.81</v>
          </cell>
          <cell r="Y163">
            <v>40.79</v>
          </cell>
          <cell r="Z163">
            <v>40.81</v>
          </cell>
          <cell r="AA163">
            <v>40.840000000000003</v>
          </cell>
        </row>
        <row r="164">
          <cell r="A164" t="str">
            <v>SI1627_20250708</v>
          </cell>
          <cell r="B164" t="str">
            <v>유재호</v>
          </cell>
          <cell r="C164">
            <v>45867</v>
          </cell>
          <cell r="D164" t="str">
            <v>설화수 진설명작크림 (견) 10ML (AD 용기받침</v>
          </cell>
          <cell r="E164" t="str">
            <v>내경</v>
          </cell>
          <cell r="F164">
            <v>44.07</v>
          </cell>
          <cell r="G164">
            <v>44.07</v>
          </cell>
          <cell r="H164">
            <v>44.06</v>
          </cell>
          <cell r="I164">
            <v>44.09</v>
          </cell>
          <cell r="N164" t="str">
            <v>언더컷</v>
          </cell>
          <cell r="O164">
            <v>44.2</v>
          </cell>
          <cell r="P164">
            <v>44.2</v>
          </cell>
          <cell r="Q164">
            <v>44.18</v>
          </cell>
          <cell r="R164">
            <v>44.19</v>
          </cell>
          <cell r="W164" t="str">
            <v>외경</v>
          </cell>
          <cell r="X164">
            <v>59.79</v>
          </cell>
          <cell r="Y164">
            <v>59.79</v>
          </cell>
          <cell r="Z164">
            <v>59.81</v>
          </cell>
          <cell r="AA164">
            <v>59.79</v>
          </cell>
        </row>
        <row r="165">
          <cell r="A165" t="str">
            <v>SI1633_20250708</v>
          </cell>
          <cell r="B165" t="str">
            <v>유재호</v>
          </cell>
          <cell r="C165">
            <v>45868</v>
          </cell>
          <cell r="D165" t="str">
            <v>설화수 진설명작크림 (견) 5ML (AD 용기받침</v>
          </cell>
          <cell r="E165" t="str">
            <v>언더컷</v>
          </cell>
          <cell r="F165">
            <v>33.729999999999997</v>
          </cell>
          <cell r="G165">
            <v>33.76</v>
          </cell>
          <cell r="H165">
            <v>33.75</v>
          </cell>
          <cell r="I165">
            <v>33.74</v>
          </cell>
          <cell r="N165" t="str">
            <v>키잡이</v>
          </cell>
          <cell r="O165">
            <v>35.33</v>
          </cell>
          <cell r="P165">
            <v>35.31</v>
          </cell>
          <cell r="Q165">
            <v>35.32</v>
          </cell>
          <cell r="R165">
            <v>35.32</v>
          </cell>
          <cell r="W165" t="str">
            <v>외경</v>
          </cell>
          <cell r="X165">
            <v>48.11</v>
          </cell>
          <cell r="Y165">
            <v>48.08</v>
          </cell>
          <cell r="Z165">
            <v>48.11</v>
          </cell>
          <cell r="AA165">
            <v>48.1</v>
          </cell>
        </row>
        <row r="166">
          <cell r="A166" t="str">
            <v>SI1628_20250708</v>
          </cell>
          <cell r="B166" t="str">
            <v>유재호</v>
          </cell>
          <cell r="C166">
            <v>45868</v>
          </cell>
          <cell r="D166" t="str">
            <v>설화수 진설명작크림 (견) 10ML (AD 단용기</v>
          </cell>
          <cell r="E166" t="str">
            <v>나사경</v>
          </cell>
          <cell r="F166">
            <v>46.54</v>
          </cell>
          <cell r="G166">
            <v>46.44</v>
          </cell>
          <cell r="H166">
            <v>46.49</v>
          </cell>
          <cell r="I166">
            <v>46.47</v>
          </cell>
          <cell r="N166" t="str">
            <v>외경</v>
          </cell>
          <cell r="O166">
            <v>46.78</v>
          </cell>
          <cell r="P166">
            <v>46.72</v>
          </cell>
          <cell r="Q166">
            <v>46.75</v>
          </cell>
          <cell r="R166">
            <v>46.73</v>
          </cell>
          <cell r="W166" t="str">
            <v>언더컷</v>
          </cell>
          <cell r="X166">
            <v>44.96</v>
          </cell>
          <cell r="Y166">
            <v>44.94</v>
          </cell>
          <cell r="Z166">
            <v>44.99</v>
          </cell>
          <cell r="AA166">
            <v>44.97</v>
          </cell>
        </row>
        <row r="167">
          <cell r="A167" t="str">
            <v>SI1632_20250708</v>
          </cell>
          <cell r="B167" t="str">
            <v>유재호</v>
          </cell>
          <cell r="C167">
            <v>45868</v>
          </cell>
          <cell r="D167" t="str">
            <v>설화수 진설명작크림 (견) 5ML (AD 단용기</v>
          </cell>
          <cell r="E167" t="str">
            <v>입구경</v>
          </cell>
          <cell r="F167">
            <v>27.56</v>
          </cell>
          <cell r="G167">
            <v>27.58</v>
          </cell>
          <cell r="H167">
            <v>27.59</v>
          </cell>
          <cell r="I167">
            <v>27.58</v>
          </cell>
          <cell r="N167" t="str">
            <v>나사경</v>
          </cell>
          <cell r="O167">
            <v>36.020000000000003</v>
          </cell>
          <cell r="P167">
            <v>36.020000000000003</v>
          </cell>
          <cell r="Q167">
            <v>35.979999999999997</v>
          </cell>
          <cell r="R167">
            <v>36.04</v>
          </cell>
          <cell r="W167" t="str">
            <v>외경</v>
          </cell>
          <cell r="X167">
            <v>36.119999999999997</v>
          </cell>
          <cell r="Y167">
            <v>36.14</v>
          </cell>
          <cell r="Z167">
            <v>36.11</v>
          </cell>
          <cell r="AA167">
            <v>36.1</v>
          </cell>
        </row>
        <row r="168">
          <cell r="A168" t="str">
            <v>SI1625_20250708</v>
          </cell>
          <cell r="B168" t="str">
            <v>유재호</v>
          </cell>
          <cell r="C168">
            <v>45867</v>
          </cell>
          <cell r="D168" t="str">
            <v>설화수 진설명작크림 (견) 10ML (AD 외캡</v>
          </cell>
          <cell r="E168" t="str">
            <v>내경</v>
          </cell>
          <cell r="F168">
            <v>50.35</v>
          </cell>
          <cell r="G168">
            <v>50.32</v>
          </cell>
          <cell r="H168">
            <v>50.35</v>
          </cell>
          <cell r="I168">
            <v>50.37</v>
          </cell>
          <cell r="N168" t="str">
            <v>외경</v>
          </cell>
          <cell r="O168">
            <v>58.21</v>
          </cell>
          <cell r="P168">
            <v>58.21</v>
          </cell>
          <cell r="Q168">
            <v>58.22</v>
          </cell>
          <cell r="R168">
            <v>58.21</v>
          </cell>
          <cell r="W168" t="str">
            <v>언더컷</v>
          </cell>
          <cell r="X168">
            <v>50.32</v>
          </cell>
          <cell r="Y168">
            <v>50.38</v>
          </cell>
          <cell r="Z168">
            <v>50.37</v>
          </cell>
          <cell r="AA168">
            <v>50.34</v>
          </cell>
        </row>
        <row r="169">
          <cell r="A169" t="str">
            <v>SI1630_20250708</v>
          </cell>
          <cell r="B169" t="str">
            <v>유재호</v>
          </cell>
          <cell r="C169">
            <v>45867</v>
          </cell>
          <cell r="D169" t="str">
            <v>설화수 진설명작크림 (견) 5ML (AD 외캡</v>
          </cell>
          <cell r="E169" t="str">
            <v>내경</v>
          </cell>
          <cell r="F169">
            <v>39.950000000000003</v>
          </cell>
          <cell r="G169">
            <v>39.96</v>
          </cell>
          <cell r="H169">
            <v>39.950000000000003</v>
          </cell>
          <cell r="I169">
            <v>39.97</v>
          </cell>
          <cell r="N169" t="str">
            <v>키잡이</v>
          </cell>
          <cell r="O169">
            <v>41.2</v>
          </cell>
          <cell r="P169">
            <v>41.2</v>
          </cell>
          <cell r="Q169">
            <v>41.22</v>
          </cell>
          <cell r="R169">
            <v>41.22</v>
          </cell>
          <cell r="W169" t="str">
            <v>외경</v>
          </cell>
          <cell r="X169">
            <v>46.81</v>
          </cell>
          <cell r="Y169">
            <v>46.81</v>
          </cell>
          <cell r="Z169">
            <v>46.81</v>
          </cell>
          <cell r="AA169">
            <v>46.78</v>
          </cell>
        </row>
        <row r="170">
          <cell r="B170" t="str">
            <v>김유미</v>
          </cell>
          <cell r="D170" t="str">
            <v>7/31 김도균팀장요청으로 이성춘책임 측정데이타 추가함_위에7행</v>
          </cell>
        </row>
        <row r="171">
          <cell r="A171" t="str">
            <v>SI1634_20250723</v>
          </cell>
          <cell r="B171" t="str">
            <v>유재호</v>
          </cell>
          <cell r="C171">
            <v>45861</v>
          </cell>
          <cell r="D171" t="str">
            <v>설화수 진설명작크림 (견) 5ML (AD 사출덮개</v>
          </cell>
          <cell r="E171" t="str">
            <v>내경</v>
          </cell>
          <cell r="F171">
            <v>24.41</v>
          </cell>
          <cell r="G171">
            <v>24.46</v>
          </cell>
          <cell r="H171">
            <v>24.4</v>
          </cell>
          <cell r="I171">
            <v>24.44</v>
          </cell>
          <cell r="N171" t="str">
            <v>외경</v>
          </cell>
          <cell r="O171">
            <v>26.83</v>
          </cell>
          <cell r="P171">
            <v>26.86</v>
          </cell>
          <cell r="Q171">
            <v>26.91</v>
          </cell>
          <cell r="R171">
            <v>26.84</v>
          </cell>
          <cell r="W171" t="str">
            <v>외고</v>
          </cell>
        </row>
        <row r="172">
          <cell r="A172" t="str">
            <v>SI1629_20250708</v>
          </cell>
          <cell r="B172" t="str">
            <v>유재호</v>
          </cell>
          <cell r="C172">
            <v>45861</v>
          </cell>
          <cell r="D172" t="str">
            <v>설화수 진설명작크림 (견) 10ML (AD 사출덮개</v>
          </cell>
          <cell r="E172" t="str">
            <v>내경</v>
          </cell>
          <cell r="F172">
            <v>34.81</v>
          </cell>
          <cell r="G172">
            <v>34.78</v>
          </cell>
          <cell r="H172">
            <v>34.799999999999997</v>
          </cell>
          <cell r="I172">
            <v>34.79</v>
          </cell>
          <cell r="N172" t="str">
            <v>외경</v>
          </cell>
          <cell r="O172">
            <v>37.24</v>
          </cell>
          <cell r="P172">
            <v>37.18</v>
          </cell>
          <cell r="Q172">
            <v>37.21</v>
          </cell>
          <cell r="R172">
            <v>37.229999999999997</v>
          </cell>
          <cell r="W172" t="str">
            <v>외고</v>
          </cell>
        </row>
        <row r="173">
          <cell r="A173" t="str">
            <v>SI1616_20250708</v>
          </cell>
          <cell r="B173" t="str">
            <v>유재호</v>
          </cell>
          <cell r="C173">
            <v>45861</v>
          </cell>
          <cell r="D173" t="str">
            <v>설화수 진설명작크림 60ML (26AD 사출덮개</v>
          </cell>
          <cell r="E173" t="str">
            <v>A</v>
          </cell>
          <cell r="F173">
            <v>57.83</v>
          </cell>
          <cell r="G173">
            <v>57.88</v>
          </cell>
          <cell r="N173" t="str">
            <v>외경</v>
          </cell>
          <cell r="O173">
            <v>62.84</v>
          </cell>
          <cell r="P173">
            <v>62.79</v>
          </cell>
          <cell r="W173" t="str">
            <v>내경</v>
          </cell>
          <cell r="X173">
            <v>56.21</v>
          </cell>
          <cell r="Y173">
            <v>56.23</v>
          </cell>
        </row>
        <row r="174">
          <cell r="A174" t="str">
            <v>SI1623_20250708</v>
          </cell>
          <cell r="B174" t="str">
            <v>유재호</v>
          </cell>
          <cell r="C174">
            <v>45862</v>
          </cell>
          <cell r="D174" t="str">
            <v>설화수 진설명작크림 리필 60ML (26AD 단캡</v>
          </cell>
          <cell r="E174" t="str">
            <v>외경</v>
          </cell>
          <cell r="F174">
            <v>77.55</v>
          </cell>
          <cell r="G174">
            <v>77.52</v>
          </cell>
          <cell r="N174" t="str">
            <v>내경</v>
          </cell>
          <cell r="O174">
            <v>73.63</v>
          </cell>
          <cell r="P174">
            <v>73.62</v>
          </cell>
          <cell r="W174" t="str">
            <v>A</v>
          </cell>
        </row>
        <row r="175">
          <cell r="A175" t="str">
            <v>SI1619_20250708</v>
          </cell>
          <cell r="B175" t="str">
            <v>유재호</v>
          </cell>
          <cell r="C175">
            <v>45862</v>
          </cell>
          <cell r="D175" t="str">
            <v>설화수 진설명작크림 60ML (26AD 외용기</v>
          </cell>
          <cell r="E175" t="str">
            <v>나사경</v>
          </cell>
          <cell r="F175">
            <v>76.16</v>
          </cell>
          <cell r="G175">
            <v>76.180000000000007</v>
          </cell>
          <cell r="N175" t="str">
            <v>입구경</v>
          </cell>
          <cell r="O175">
            <v>65.37</v>
          </cell>
          <cell r="P175">
            <v>65.37</v>
          </cell>
          <cell r="W175" t="str">
            <v>C</v>
          </cell>
        </row>
        <row r="176">
          <cell r="A176" t="str">
            <v>SI1617_20250708</v>
          </cell>
          <cell r="B176">
            <v>0</v>
          </cell>
          <cell r="C176">
            <v>0</v>
          </cell>
          <cell r="D176" t="str">
            <v>설화수 진설명작크림 60ML (26AD 중용기</v>
          </cell>
          <cell r="E176" t="str">
            <v>A</v>
          </cell>
          <cell r="F176">
            <v>64.63</v>
          </cell>
          <cell r="G176">
            <v>64.64</v>
          </cell>
          <cell r="N176" t="str">
            <v>내경</v>
          </cell>
          <cell r="O176">
            <v>61.69</v>
          </cell>
          <cell r="P176">
            <v>61.71</v>
          </cell>
          <cell r="W176" t="str">
            <v>C</v>
          </cell>
        </row>
        <row r="177">
          <cell r="A177" t="str">
            <v>SI1615_20250708</v>
          </cell>
          <cell r="B177" t="str">
            <v>장세래</v>
          </cell>
          <cell r="C177">
            <v>45854</v>
          </cell>
          <cell r="D177" t="str">
            <v>설화수 진설명작크림 60ML (26AD 캡장식-하단링</v>
          </cell>
          <cell r="E177" t="str">
            <v>외경</v>
          </cell>
          <cell r="F177">
            <v>84.73</v>
          </cell>
          <cell r="G177">
            <v>84.77</v>
          </cell>
          <cell r="N177" t="str">
            <v>언더컷</v>
          </cell>
          <cell r="O177">
            <v>79.900000000000006</v>
          </cell>
          <cell r="P177">
            <v>79.83</v>
          </cell>
          <cell r="W177" t="str">
            <v>입구경</v>
          </cell>
        </row>
        <row r="178">
          <cell r="A178" t="str">
            <v>SI1617_20250708</v>
          </cell>
          <cell r="B178">
            <v>0</v>
          </cell>
          <cell r="C178">
            <v>0</v>
          </cell>
          <cell r="D178" t="str">
            <v>설화수 진설명작크림 60ML (26AD 중용기</v>
          </cell>
          <cell r="E178" t="str">
            <v>A</v>
          </cell>
          <cell r="F178">
            <v>84.78</v>
          </cell>
          <cell r="G178">
            <v>84.75</v>
          </cell>
          <cell r="N178" t="str">
            <v>내경</v>
          </cell>
          <cell r="O178">
            <v>79.84</v>
          </cell>
          <cell r="P178">
            <v>79.94</v>
          </cell>
          <cell r="W178" t="str">
            <v>C</v>
          </cell>
        </row>
        <row r="179">
          <cell r="A179" t="str">
            <v>SI1617_20250708</v>
          </cell>
          <cell r="B179">
            <v>0</v>
          </cell>
          <cell r="C179">
            <v>0</v>
          </cell>
          <cell r="D179" t="str">
            <v>설화수 진설명작크림 60ML (26AD 중용기</v>
          </cell>
          <cell r="E179" t="str">
            <v>A</v>
          </cell>
          <cell r="F179">
            <v>64.62</v>
          </cell>
          <cell r="G179">
            <v>64.650000000000006</v>
          </cell>
          <cell r="N179" t="str">
            <v>내경</v>
          </cell>
          <cell r="O179">
            <v>61.79</v>
          </cell>
          <cell r="P179">
            <v>61.81</v>
          </cell>
          <cell r="W179" t="str">
            <v>C</v>
          </cell>
        </row>
        <row r="180">
          <cell r="A180" t="str">
            <v>text</v>
          </cell>
          <cell r="B180" t="str">
            <v>김유미</v>
          </cell>
          <cell r="C180">
            <v>45835</v>
          </cell>
          <cell r="D180" t="str">
            <v>측정후 24시간데이타 c열값을 가지고 오지 않아 수정후 테스트</v>
          </cell>
          <cell r="E180" t="str">
            <v>A</v>
          </cell>
          <cell r="F180">
            <v>1</v>
          </cell>
          <cell r="G180">
            <v>1</v>
          </cell>
          <cell r="H180">
            <v>1</v>
          </cell>
          <cell r="I180">
            <v>1</v>
          </cell>
          <cell r="J180">
            <v>1</v>
          </cell>
          <cell r="K180">
            <v>1</v>
          </cell>
          <cell r="L180">
            <v>1</v>
          </cell>
          <cell r="M180">
            <v>1</v>
          </cell>
          <cell r="N180" t="str">
            <v>B</v>
          </cell>
          <cell r="O180">
            <v>2</v>
          </cell>
          <cell r="P180">
            <v>2</v>
          </cell>
          <cell r="Q180">
            <v>2</v>
          </cell>
          <cell r="R180">
            <v>2</v>
          </cell>
          <cell r="S180">
            <v>2</v>
          </cell>
          <cell r="T180">
            <v>2</v>
          </cell>
          <cell r="U180">
            <v>2</v>
          </cell>
          <cell r="V180">
            <v>2</v>
          </cell>
          <cell r="W180">
            <v>0</v>
          </cell>
          <cell r="X180">
            <v>3</v>
          </cell>
          <cell r="Y180">
            <v>3</v>
          </cell>
          <cell r="Z180">
            <v>3</v>
          </cell>
          <cell r="AA180">
            <v>3</v>
          </cell>
          <cell r="AB180">
            <v>3</v>
          </cell>
          <cell r="AC180">
            <v>3</v>
          </cell>
          <cell r="AD180">
            <v>3</v>
          </cell>
          <cell r="AE180">
            <v>3</v>
          </cell>
        </row>
        <row r="181">
          <cell r="A181" t="str">
            <v>SI1610_20250623</v>
          </cell>
          <cell r="B181" t="str">
            <v>장세래</v>
          </cell>
          <cell r="C181">
            <v>45832</v>
          </cell>
          <cell r="D181" t="str">
            <v>홀리추얼 울트라 너리싱 어드밴스드 토너 150ML 캡장식 사출</v>
          </cell>
          <cell r="E181" t="str">
            <v>A</v>
          </cell>
          <cell r="F181">
            <v>36.83</v>
          </cell>
          <cell r="G181">
            <v>36.79</v>
          </cell>
          <cell r="H181">
            <v>36.74</v>
          </cell>
          <cell r="I181">
            <v>36.81</v>
          </cell>
          <cell r="N181" t="str">
            <v>B</v>
          </cell>
          <cell r="O181">
            <v>33.64</v>
          </cell>
          <cell r="P181">
            <v>33.65</v>
          </cell>
          <cell r="Q181">
            <v>33.659999999999997</v>
          </cell>
          <cell r="R181">
            <v>33.68</v>
          </cell>
        </row>
        <row r="182">
          <cell r="A182" t="str">
            <v>SI1609_20250623</v>
          </cell>
          <cell r="B182" t="str">
            <v>장세래</v>
          </cell>
          <cell r="C182">
            <v>45832</v>
          </cell>
          <cell r="D182" t="str">
            <v>홀리추얼 울트라 너리싱 어드밴스드 토너 150ML 외캡 사출</v>
          </cell>
          <cell r="E182" t="str">
            <v>A</v>
          </cell>
          <cell r="F182">
            <v>36.979999999999997</v>
          </cell>
          <cell r="G182">
            <v>37</v>
          </cell>
          <cell r="H182">
            <v>36.99</v>
          </cell>
          <cell r="I182">
            <v>37</v>
          </cell>
          <cell r="N182" t="str">
            <v>B</v>
          </cell>
          <cell r="O182">
            <v>33.64</v>
          </cell>
          <cell r="P182">
            <v>33.58</v>
          </cell>
          <cell r="Q182">
            <v>33.64</v>
          </cell>
          <cell r="R182">
            <v>33.65</v>
          </cell>
        </row>
        <row r="183">
          <cell r="A183" t="str">
            <v>SI1611_20250623</v>
          </cell>
          <cell r="B183" t="str">
            <v>장세래</v>
          </cell>
          <cell r="C183">
            <v>45833</v>
          </cell>
          <cell r="D183" t="str">
            <v>홀리추얼 울트라 너리싱 어드밴스드 토너 150ML 내캡</v>
          </cell>
          <cell r="E183" t="str">
            <v>A</v>
          </cell>
          <cell r="F183">
            <v>31.83</v>
          </cell>
          <cell r="G183">
            <v>31.85</v>
          </cell>
          <cell r="H183">
            <v>31.83</v>
          </cell>
          <cell r="I183">
            <v>31.82</v>
          </cell>
          <cell r="N183" t="str">
            <v>B</v>
          </cell>
          <cell r="O183">
            <v>30.81</v>
          </cell>
          <cell r="P183">
            <v>30.83</v>
          </cell>
          <cell r="Q183">
            <v>30.82</v>
          </cell>
          <cell r="R183">
            <v>30.8</v>
          </cell>
        </row>
        <row r="184">
          <cell r="A184" t="str">
            <v>SI1606_20250519</v>
          </cell>
          <cell r="B184" t="str">
            <v>한창구</v>
          </cell>
          <cell r="C184">
            <v>45797</v>
          </cell>
          <cell r="D184" t="str">
            <v>(EUSA)라네즈 실키앤스무스 토너 150mL (26 내캡</v>
          </cell>
          <cell r="E184" t="str">
            <v>내경</v>
          </cell>
          <cell r="F184">
            <v>24.54</v>
          </cell>
          <cell r="G184">
            <v>24.55</v>
          </cell>
          <cell r="H184">
            <v>24.57</v>
          </cell>
          <cell r="I184">
            <v>24.55</v>
          </cell>
          <cell r="J184">
            <v>24.54</v>
          </cell>
          <cell r="K184">
            <v>24.56</v>
          </cell>
          <cell r="L184">
            <v>24.55</v>
          </cell>
          <cell r="M184">
            <v>24.52</v>
          </cell>
          <cell r="N184" t="str">
            <v>언더컷</v>
          </cell>
          <cell r="O184">
            <v>48.14</v>
          </cell>
          <cell r="P184">
            <v>48.2</v>
          </cell>
          <cell r="Q184">
            <v>48.16</v>
          </cell>
          <cell r="R184">
            <v>48.13</v>
          </cell>
          <cell r="S184">
            <v>48.12</v>
          </cell>
          <cell r="T184">
            <v>48.18</v>
          </cell>
          <cell r="U184">
            <v>48.13</v>
          </cell>
          <cell r="V184">
            <v>48.11</v>
          </cell>
        </row>
        <row r="185">
          <cell r="A185" t="str">
            <v>SI1605_20250519</v>
          </cell>
          <cell r="B185" t="str">
            <v>유재호</v>
          </cell>
          <cell r="C185">
            <v>45796</v>
          </cell>
          <cell r="D185" t="str">
            <v>(EUSA)라네즈 실키앤스무스 토너 150mL (26 외캡</v>
          </cell>
          <cell r="E185" t="str">
            <v>외경</v>
          </cell>
          <cell r="F185">
            <v>50.56</v>
          </cell>
          <cell r="G185">
            <v>50.54</v>
          </cell>
          <cell r="H185">
            <v>50.5</v>
          </cell>
          <cell r="I185">
            <v>50.53</v>
          </cell>
          <cell r="J185">
            <v>50.5</v>
          </cell>
          <cell r="K185">
            <v>50.54</v>
          </cell>
          <cell r="L185">
            <v>50.49</v>
          </cell>
          <cell r="M185">
            <v>50.55</v>
          </cell>
          <cell r="N185" t="str">
            <v>키잡이</v>
          </cell>
          <cell r="O185">
            <v>48.36</v>
          </cell>
          <cell r="P185">
            <v>48.37</v>
          </cell>
          <cell r="Q185">
            <v>48.36</v>
          </cell>
          <cell r="R185">
            <v>48.37</v>
          </cell>
          <cell r="S185">
            <v>48.37</v>
          </cell>
          <cell r="T185">
            <v>48.39</v>
          </cell>
          <cell r="U185">
            <v>48.38</v>
          </cell>
          <cell r="V185">
            <v>48.36</v>
          </cell>
        </row>
        <row r="186">
          <cell r="A186" t="str">
            <v>SI1603_20250428</v>
          </cell>
          <cell r="B186" t="str">
            <v>장세래</v>
          </cell>
          <cell r="C186">
            <v>45789</v>
          </cell>
          <cell r="D186" t="str">
            <v xml:space="preserve">아모스 60파이 원터치캡 </v>
          </cell>
          <cell r="E186" t="str">
            <v>외경</v>
          </cell>
          <cell r="F186">
            <v>43.5</v>
          </cell>
          <cell r="G186">
            <v>43.49</v>
          </cell>
          <cell r="H186">
            <v>43.45</v>
          </cell>
          <cell r="I186">
            <v>43.47</v>
          </cell>
          <cell r="N186" t="str">
            <v>내경</v>
          </cell>
          <cell r="O186">
            <v>27.82</v>
          </cell>
          <cell r="P186">
            <v>27.77</v>
          </cell>
          <cell r="Q186">
            <v>27.79</v>
          </cell>
          <cell r="R186">
            <v>27.78</v>
          </cell>
        </row>
        <row r="187">
          <cell r="A187" t="str">
            <v>SI1601_20250417</v>
          </cell>
          <cell r="B187" t="str">
            <v>장세래</v>
          </cell>
          <cell r="C187">
            <v>45765</v>
          </cell>
          <cell r="D187" t="str">
            <v>미쟝센 퍼펙트 오일 인퓨전 헤어 마스크150g(25 단용기</v>
          </cell>
          <cell r="E187" t="str">
            <v>나사경</v>
          </cell>
          <cell r="F187">
            <v>70.040000000000006</v>
          </cell>
          <cell r="G187">
            <v>70.05</v>
          </cell>
          <cell r="H187">
            <v>70</v>
          </cell>
          <cell r="I187">
            <v>70.03</v>
          </cell>
          <cell r="N187" t="str">
            <v>외경</v>
          </cell>
          <cell r="O187">
            <v>80.31</v>
          </cell>
          <cell r="P187">
            <v>80.27</v>
          </cell>
          <cell r="Q187">
            <v>80.349999999999994</v>
          </cell>
          <cell r="R187">
            <v>80.31</v>
          </cell>
        </row>
        <row r="188">
          <cell r="A188" t="str">
            <v>SI1600_20250421</v>
          </cell>
          <cell r="B188" t="str">
            <v>장세래</v>
          </cell>
          <cell r="C188">
            <v>45768</v>
          </cell>
          <cell r="D188" t="str">
            <v>미쟝센 퍼펙트 오일 인퓨전 헤어 마스크150g(25 단캡</v>
          </cell>
          <cell r="E188" t="str">
            <v>나사경</v>
          </cell>
          <cell r="F188">
            <v>68.88</v>
          </cell>
          <cell r="G188">
            <v>68.819999999999993</v>
          </cell>
          <cell r="H188">
            <v>68.819999999999993</v>
          </cell>
          <cell r="I188">
            <v>68.83</v>
          </cell>
          <cell r="N188" t="str">
            <v>외경</v>
          </cell>
          <cell r="O188">
            <v>79.650000000000006</v>
          </cell>
          <cell r="P188">
            <v>79.489999999999995</v>
          </cell>
          <cell r="Q188">
            <v>79.650000000000006</v>
          </cell>
          <cell r="R188">
            <v>79.61</v>
          </cell>
        </row>
        <row r="189">
          <cell r="A189" t="str">
            <v>SI1600_20250416</v>
          </cell>
          <cell r="B189" t="str">
            <v>장세래</v>
          </cell>
          <cell r="C189">
            <v>45768</v>
          </cell>
          <cell r="D189" t="str">
            <v>미쟝센 퍼펙트 오일 인퓨전 헤어 마스크150g(25 단캡</v>
          </cell>
          <cell r="E189" t="str">
            <v>나사경</v>
          </cell>
          <cell r="F189">
            <v>68.91</v>
          </cell>
          <cell r="G189">
            <v>68.88</v>
          </cell>
          <cell r="H189">
            <v>68.94</v>
          </cell>
          <cell r="I189">
            <v>68.959999999999994</v>
          </cell>
          <cell r="N189" t="str">
            <v>외경</v>
          </cell>
          <cell r="O189">
            <v>79.849999999999994</v>
          </cell>
          <cell r="P189">
            <v>79.8</v>
          </cell>
          <cell r="Q189">
            <v>79.72</v>
          </cell>
          <cell r="R189">
            <v>79.81</v>
          </cell>
        </row>
        <row r="190">
          <cell r="A190" t="str">
            <v>SI1598_20250408</v>
          </cell>
          <cell r="B190" t="str">
            <v>유재호</v>
          </cell>
          <cell r="C190">
            <v>45756</v>
          </cell>
          <cell r="D190" t="str">
            <v>라네즈 바운시슬리핑마스크 70ML (20AD 단캡</v>
          </cell>
          <cell r="E190" t="str">
            <v>외경</v>
          </cell>
          <cell r="F190">
            <v>65.12</v>
          </cell>
          <cell r="G190">
            <v>65.12</v>
          </cell>
          <cell r="H190">
            <v>65.099999999999994</v>
          </cell>
          <cell r="I190">
            <v>65.010000000000005</v>
          </cell>
          <cell r="N190" t="str">
            <v>나사경</v>
          </cell>
          <cell r="O190">
            <v>59.39</v>
          </cell>
          <cell r="P190">
            <v>59.38</v>
          </cell>
          <cell r="Q190">
            <v>59.38</v>
          </cell>
          <cell r="R190">
            <v>59.38</v>
          </cell>
        </row>
        <row r="191">
          <cell r="A191" t="str">
            <v>SI1601_20250402</v>
          </cell>
          <cell r="B191" t="str">
            <v>장세래</v>
          </cell>
          <cell r="C191">
            <v>45751</v>
          </cell>
          <cell r="D191" t="str">
            <v>미쟝센 퍼펙트 오일 인퓨전 헤어 마스크150g(25 단용기</v>
          </cell>
          <cell r="E191" t="str">
            <v>나사경</v>
          </cell>
          <cell r="F191">
            <v>70.06</v>
          </cell>
          <cell r="G191">
            <v>70.06</v>
          </cell>
          <cell r="H191">
            <v>70.010000000000005</v>
          </cell>
          <cell r="I191">
            <v>70.03</v>
          </cell>
          <cell r="N191" t="str">
            <v>외경</v>
          </cell>
          <cell r="O191">
            <v>80.290000000000006</v>
          </cell>
          <cell r="P191">
            <v>80.459999999999994</v>
          </cell>
          <cell r="Q191">
            <v>80.400000000000006</v>
          </cell>
          <cell r="R191">
            <v>80.319999999999993</v>
          </cell>
        </row>
        <row r="192">
          <cell r="A192" t="str">
            <v>SI1600_20250402</v>
          </cell>
          <cell r="B192" t="str">
            <v>장세래</v>
          </cell>
          <cell r="C192">
            <v>45751</v>
          </cell>
          <cell r="D192" t="str">
            <v>미쟝센 퍼펙트 오일 인퓨전 헤어 마스크150g(25 단캡</v>
          </cell>
          <cell r="E192" t="str">
            <v>나사경</v>
          </cell>
          <cell r="F192">
            <v>68.959999999999994</v>
          </cell>
          <cell r="G192">
            <v>69.06</v>
          </cell>
          <cell r="H192">
            <v>68.989999999999995</v>
          </cell>
          <cell r="I192">
            <v>68.97</v>
          </cell>
          <cell r="N192" t="str">
            <v>외경</v>
          </cell>
          <cell r="O192">
            <v>79.81</v>
          </cell>
          <cell r="P192">
            <v>79.8</v>
          </cell>
          <cell r="Q192">
            <v>79.75</v>
          </cell>
          <cell r="R192">
            <v>79.900000000000006</v>
          </cell>
        </row>
        <row r="193">
          <cell r="A193" t="str">
            <v>SI1558_20250321</v>
          </cell>
          <cell r="B193" t="str">
            <v>유재호</v>
          </cell>
          <cell r="C193">
            <v>45737</v>
          </cell>
          <cell r="D193" t="str">
            <v>라보에이치 모발강화 트리트먼트 200ml 50파이 장식</v>
          </cell>
          <cell r="E193" t="str">
            <v>외경</v>
          </cell>
          <cell r="F193">
            <v>44.41</v>
          </cell>
          <cell r="G193">
            <v>44.35</v>
          </cell>
          <cell r="H193">
            <v>44.36</v>
          </cell>
          <cell r="I193">
            <v>44.37</v>
          </cell>
          <cell r="J193">
            <v>44.38</v>
          </cell>
          <cell r="K193">
            <v>44.35</v>
          </cell>
          <cell r="L193">
            <v>44.38</v>
          </cell>
          <cell r="M193">
            <v>44.35</v>
          </cell>
          <cell r="N193" t="str">
            <v>언더컷</v>
          </cell>
          <cell r="O193">
            <v>43.86</v>
          </cell>
          <cell r="P193">
            <v>43.83</v>
          </cell>
          <cell r="Q193">
            <v>43.83</v>
          </cell>
          <cell r="R193">
            <v>48.83</v>
          </cell>
          <cell r="S193">
            <v>43.86</v>
          </cell>
          <cell r="T193">
            <v>48.83</v>
          </cell>
          <cell r="U193">
            <v>48.83</v>
          </cell>
          <cell r="V193">
            <v>48.83</v>
          </cell>
        </row>
        <row r="194">
          <cell r="A194" t="str">
            <v>SI1560_20250321</v>
          </cell>
          <cell r="B194" t="str">
            <v>유재호</v>
          </cell>
          <cell r="C194">
            <v>45737</v>
          </cell>
          <cell r="D194" t="str">
            <v>라보에이치 모발강화 트리트먼트 300ml 60파이 장식</v>
          </cell>
          <cell r="E194" t="str">
            <v>외경</v>
          </cell>
          <cell r="F194">
            <v>53.4</v>
          </cell>
          <cell r="G194">
            <v>53.37</v>
          </cell>
          <cell r="H194">
            <v>53.38</v>
          </cell>
          <cell r="I194">
            <v>53.38</v>
          </cell>
          <cell r="J194">
            <v>53.38</v>
          </cell>
          <cell r="K194">
            <v>53.38</v>
          </cell>
          <cell r="L194">
            <v>53.4</v>
          </cell>
          <cell r="M194">
            <v>53.36</v>
          </cell>
          <cell r="N194" t="str">
            <v>언더컷</v>
          </cell>
          <cell r="O194">
            <v>52.83</v>
          </cell>
          <cell r="P194">
            <v>52.8</v>
          </cell>
          <cell r="Q194">
            <v>52.79</v>
          </cell>
          <cell r="R194">
            <v>52.81</v>
          </cell>
          <cell r="S194">
            <v>52.83</v>
          </cell>
          <cell r="T194">
            <v>52.82</v>
          </cell>
          <cell r="U194">
            <v>52.82</v>
          </cell>
          <cell r="V194">
            <v>52.8</v>
          </cell>
        </row>
        <row r="195">
          <cell r="A195" t="str">
            <v>SI1597_20250307</v>
          </cell>
          <cell r="B195" t="str">
            <v>유재호</v>
          </cell>
          <cell r="C195">
            <v>45723</v>
          </cell>
          <cell r="D195" t="str">
            <v>아모레 원터치캡 45파이</v>
          </cell>
          <cell r="E195" t="str">
            <v>나사경</v>
          </cell>
          <cell r="F195">
            <v>22.08</v>
          </cell>
          <cell r="G195">
            <v>22.06</v>
          </cell>
          <cell r="H195">
            <v>22.05</v>
          </cell>
          <cell r="I195">
            <v>22.07</v>
          </cell>
          <cell r="J195">
            <v>22.07</v>
          </cell>
          <cell r="K195">
            <v>22.05</v>
          </cell>
          <cell r="L195">
            <v>22.07</v>
          </cell>
          <cell r="M195">
            <v>22.07</v>
          </cell>
          <cell r="N195" t="str">
            <v>외경</v>
          </cell>
          <cell r="O195">
            <v>42.64</v>
          </cell>
          <cell r="P195">
            <v>42.58</v>
          </cell>
          <cell r="Q195">
            <v>42.62</v>
          </cell>
          <cell r="R195">
            <v>42.61</v>
          </cell>
          <cell r="S195">
            <v>42.62</v>
          </cell>
          <cell r="T195">
            <v>42.6</v>
          </cell>
          <cell r="U195">
            <v>42.61</v>
          </cell>
          <cell r="V195">
            <v>42.65</v>
          </cell>
        </row>
        <row r="196">
          <cell r="A196" t="str">
            <v>SI1591_20250224</v>
          </cell>
          <cell r="B196" t="str">
            <v>유재호</v>
          </cell>
          <cell r="C196">
            <v>45712</v>
          </cell>
          <cell r="D196" t="str">
            <v>라네즈 워터슬리핑마스크 70ML (20AD 단캡</v>
          </cell>
          <cell r="E196" t="str">
            <v>외경</v>
          </cell>
          <cell r="F196">
            <v>64.83</v>
          </cell>
          <cell r="G196">
            <v>65.099999999999994</v>
          </cell>
          <cell r="H196">
            <v>64.94</v>
          </cell>
          <cell r="I196">
            <v>64.959999999999994</v>
          </cell>
          <cell r="N196" t="str">
            <v>나사경</v>
          </cell>
          <cell r="O196">
            <v>59.39</v>
          </cell>
          <cell r="P196">
            <v>59.37</v>
          </cell>
          <cell r="Q196">
            <v>59.37</v>
          </cell>
          <cell r="R196">
            <v>59.33</v>
          </cell>
        </row>
        <row r="197">
          <cell r="A197" t="str">
            <v>SI1543_20250227</v>
          </cell>
          <cell r="B197" t="str">
            <v>유재호</v>
          </cell>
          <cell r="C197">
            <v>45715</v>
          </cell>
          <cell r="D197" t="str">
            <v>아이오페 스템Ⅲ 클리니컬 리커버리 크림 50ML(25) 내용기</v>
          </cell>
          <cell r="E197" t="str">
            <v>외경</v>
          </cell>
          <cell r="F197">
            <v>57.03</v>
          </cell>
          <cell r="G197">
            <v>57.02</v>
          </cell>
          <cell r="H197">
            <v>57.02</v>
          </cell>
          <cell r="I197">
            <v>57.02</v>
          </cell>
          <cell r="J197">
            <v>57.03</v>
          </cell>
          <cell r="K197">
            <v>57.01</v>
          </cell>
          <cell r="L197">
            <v>57.01</v>
          </cell>
          <cell r="M197">
            <v>57.04</v>
          </cell>
          <cell r="N197" t="str">
            <v>리브</v>
          </cell>
          <cell r="O197">
            <v>51.6</v>
          </cell>
          <cell r="P197">
            <v>51.62</v>
          </cell>
          <cell r="Q197">
            <v>51.63</v>
          </cell>
          <cell r="R197">
            <v>51.62</v>
          </cell>
          <cell r="S197">
            <v>51.62</v>
          </cell>
          <cell r="T197">
            <v>51.62</v>
          </cell>
          <cell r="U197">
            <v>51.61</v>
          </cell>
          <cell r="V197">
            <v>51.65</v>
          </cell>
        </row>
        <row r="198">
          <cell r="A198" t="str">
            <v>SI1542_20250225</v>
          </cell>
          <cell r="B198" t="str">
            <v>한창구</v>
          </cell>
          <cell r="C198">
            <v>45714</v>
          </cell>
          <cell r="D198" t="str">
            <v>아이오페 스템Ⅲ 클리니컬 리커버리 크림 50ML(25) 내캡 사출</v>
          </cell>
          <cell r="E198">
            <v>0</v>
          </cell>
          <cell r="F198">
            <v>71.69</v>
          </cell>
          <cell r="G198">
            <v>71.7</v>
          </cell>
          <cell r="H198">
            <v>71.650000000000006</v>
          </cell>
          <cell r="I198">
            <v>71.739999999999995</v>
          </cell>
          <cell r="N198" t="str">
            <v>나사경</v>
          </cell>
          <cell r="O198">
            <v>58.5</v>
          </cell>
          <cell r="P198">
            <v>58.47</v>
          </cell>
          <cell r="Q198">
            <v>58.48</v>
          </cell>
          <cell r="R198">
            <v>58.48</v>
          </cell>
        </row>
        <row r="199">
          <cell r="A199" t="str">
            <v>SI1542_20250204</v>
          </cell>
          <cell r="B199" t="str">
            <v>유재호</v>
          </cell>
          <cell r="C199">
            <v>45699</v>
          </cell>
          <cell r="D199" t="str">
            <v>아이오페 스템Ⅲ 클리니컬 리커버리 크림 50ML(25) 내캡 사출</v>
          </cell>
          <cell r="E199">
            <v>0</v>
          </cell>
          <cell r="F199">
            <v>71.86</v>
          </cell>
          <cell r="G199">
            <v>71.89</v>
          </cell>
          <cell r="H199">
            <v>71.88</v>
          </cell>
          <cell r="I199">
            <v>71.87</v>
          </cell>
          <cell r="N199" t="str">
            <v>나사경</v>
          </cell>
          <cell r="O199">
            <v>58.62</v>
          </cell>
          <cell r="P199">
            <v>58.62</v>
          </cell>
          <cell r="Q199">
            <v>58.63</v>
          </cell>
          <cell r="R199">
            <v>58.63</v>
          </cell>
        </row>
        <row r="200">
          <cell r="A200" t="str">
            <v>SI1540_20250204</v>
          </cell>
          <cell r="B200" t="str">
            <v>장세래</v>
          </cell>
          <cell r="C200">
            <v>45700</v>
          </cell>
          <cell r="D200" t="str">
            <v>아이오페 스템Ⅲ 클리니컬 리커버리 크림 50ML(25) 캡장식 사출</v>
          </cell>
          <cell r="E200" t="str">
            <v>외경</v>
          </cell>
          <cell r="F200">
            <v>74.489999999999995</v>
          </cell>
          <cell r="G200">
            <v>74.510000000000005</v>
          </cell>
          <cell r="H200">
            <v>74.5</v>
          </cell>
          <cell r="I200">
            <v>74.510000000000005</v>
          </cell>
          <cell r="N200" t="str">
            <v>언더컷</v>
          </cell>
          <cell r="O200">
            <v>46.98</v>
          </cell>
          <cell r="P200">
            <v>46.95</v>
          </cell>
          <cell r="Q200">
            <v>46.95</v>
          </cell>
          <cell r="R200">
            <v>46.96</v>
          </cell>
        </row>
        <row r="201">
          <cell r="A201" t="str">
            <v>SI1543_20250204</v>
          </cell>
          <cell r="B201" t="str">
            <v>유재호</v>
          </cell>
          <cell r="C201">
            <v>45699</v>
          </cell>
          <cell r="D201" t="str">
            <v>아이오페 스템Ⅲ 클리니컬 리커버리 크림 50ML(25) 내용기</v>
          </cell>
          <cell r="E201" t="str">
            <v>리브</v>
          </cell>
          <cell r="F201">
            <v>51.58</v>
          </cell>
          <cell r="G201">
            <v>51.55</v>
          </cell>
          <cell r="H201">
            <v>51.57</v>
          </cell>
          <cell r="I201">
            <v>51.57</v>
          </cell>
          <cell r="J201">
            <v>51.57</v>
          </cell>
          <cell r="K201">
            <v>51.57</v>
          </cell>
          <cell r="L201">
            <v>51.58</v>
          </cell>
          <cell r="M201">
            <v>51.6</v>
          </cell>
          <cell r="N201" t="str">
            <v>외경</v>
          </cell>
          <cell r="O201">
            <v>56.97</v>
          </cell>
          <cell r="P201">
            <v>56.98</v>
          </cell>
          <cell r="Q201">
            <v>57</v>
          </cell>
          <cell r="R201">
            <v>57.03</v>
          </cell>
          <cell r="S201">
            <v>57.03</v>
          </cell>
          <cell r="T201">
            <v>56.97</v>
          </cell>
          <cell r="U201">
            <v>56.96</v>
          </cell>
          <cell r="V201">
            <v>57.03</v>
          </cell>
        </row>
        <row r="202">
          <cell r="A202" t="str">
            <v>SI1583_20250116</v>
          </cell>
          <cell r="B202" t="str">
            <v>한창구</v>
          </cell>
          <cell r="C202">
            <v>45674</v>
          </cell>
          <cell r="D202" t="str">
            <v>미장센 헬로 젤리 팡팡 하용기</v>
          </cell>
          <cell r="E202">
            <v>0</v>
          </cell>
          <cell r="F202">
            <v>62.67</v>
          </cell>
          <cell r="G202">
            <v>62.68</v>
          </cell>
          <cell r="H202">
            <v>62.68</v>
          </cell>
          <cell r="I202">
            <v>62.68</v>
          </cell>
          <cell r="J202">
            <v>62.64</v>
          </cell>
          <cell r="K202">
            <v>62.68</v>
          </cell>
          <cell r="L202">
            <v>62.63</v>
          </cell>
          <cell r="M202">
            <v>62.68</v>
          </cell>
          <cell r="N202">
            <v>0</v>
          </cell>
          <cell r="O202">
            <v>59.52</v>
          </cell>
          <cell r="P202">
            <v>59.52</v>
          </cell>
          <cell r="Q202">
            <v>59.51</v>
          </cell>
          <cell r="R202">
            <v>59.49</v>
          </cell>
          <cell r="S202">
            <v>59.53</v>
          </cell>
          <cell r="T202">
            <v>59.54</v>
          </cell>
          <cell r="U202">
            <v>59.47</v>
          </cell>
          <cell r="V202">
            <v>59.52</v>
          </cell>
          <cell r="W202">
            <v>46.54</v>
          </cell>
        </row>
        <row r="203">
          <cell r="A203" t="str">
            <v>SI1582_20250116</v>
          </cell>
          <cell r="B203" t="str">
            <v>한창구</v>
          </cell>
          <cell r="C203">
            <v>45674</v>
          </cell>
          <cell r="D203" t="str">
            <v>미장센 헬로 젤리 팡팡 상용기(글로우쿠션 금형)</v>
          </cell>
          <cell r="E203">
            <v>0</v>
          </cell>
          <cell r="F203">
            <v>62.83</v>
          </cell>
          <cell r="G203">
            <v>62.85</v>
          </cell>
          <cell r="H203">
            <v>62.84</v>
          </cell>
          <cell r="I203">
            <v>62.86</v>
          </cell>
          <cell r="J203">
            <v>62.84</v>
          </cell>
          <cell r="K203">
            <v>62.85</v>
          </cell>
          <cell r="L203">
            <v>62.83</v>
          </cell>
          <cell r="M203">
            <v>62.85</v>
          </cell>
          <cell r="N203">
            <v>0</v>
          </cell>
          <cell r="O203">
            <v>60.15</v>
          </cell>
          <cell r="P203">
            <v>60.16</v>
          </cell>
          <cell r="Q203">
            <v>60.15</v>
          </cell>
          <cell r="R203">
            <v>60.17</v>
          </cell>
          <cell r="S203">
            <v>60.15</v>
          </cell>
          <cell r="T203">
            <v>60.22</v>
          </cell>
          <cell r="U203">
            <v>60.17</v>
          </cell>
          <cell r="V203">
            <v>60.16</v>
          </cell>
          <cell r="W203">
            <v>58.04</v>
          </cell>
        </row>
        <row r="204">
          <cell r="A204" t="str">
            <v>SI1590_20250116</v>
          </cell>
          <cell r="B204" t="str">
            <v>유재호</v>
          </cell>
          <cell r="C204">
            <v>45679</v>
          </cell>
          <cell r="D204" t="str">
            <v>라네즈 시카슬리핑마스크 60ML (21AD 내용기</v>
          </cell>
          <cell r="E204">
            <v>0</v>
          </cell>
          <cell r="F204">
            <v>57.87</v>
          </cell>
          <cell r="G204">
            <v>57.86</v>
          </cell>
          <cell r="H204">
            <v>57.84</v>
          </cell>
          <cell r="I204">
            <v>57.84</v>
          </cell>
          <cell r="J204">
            <v>57.85</v>
          </cell>
          <cell r="K204">
            <v>57.83</v>
          </cell>
          <cell r="L204">
            <v>57.85</v>
          </cell>
          <cell r="M204">
            <v>57.87</v>
          </cell>
          <cell r="N204">
            <v>0</v>
          </cell>
        </row>
        <row r="205">
          <cell r="A205" t="str">
            <v>SI1592_20250116</v>
          </cell>
          <cell r="B205" t="str">
            <v>유재호</v>
          </cell>
          <cell r="C205">
            <v>45679</v>
          </cell>
          <cell r="D205" t="str">
            <v>라네즈 워터슬리핑마스크 70ML (20AD 내용기</v>
          </cell>
          <cell r="E205" t="str">
            <v>A</v>
          </cell>
          <cell r="F205">
            <v>57.84</v>
          </cell>
          <cell r="G205">
            <v>57.79</v>
          </cell>
          <cell r="H205">
            <v>57.81</v>
          </cell>
          <cell r="I205">
            <v>57.8</v>
          </cell>
          <cell r="J205">
            <v>57.85</v>
          </cell>
          <cell r="K205">
            <v>57.81</v>
          </cell>
          <cell r="L205">
            <v>57.78</v>
          </cell>
          <cell r="M205">
            <v>57.84</v>
          </cell>
          <cell r="N205">
            <v>0</v>
          </cell>
        </row>
        <row r="206">
          <cell r="A206" t="str">
            <v>SI1560_20250120</v>
          </cell>
          <cell r="B206" t="str">
            <v>유재호</v>
          </cell>
          <cell r="C206">
            <v>45677</v>
          </cell>
          <cell r="D206" t="str">
            <v>라보에이치 모발강화 트리트먼트 300ml 60파이 장식</v>
          </cell>
          <cell r="E206" t="str">
            <v>외경</v>
          </cell>
          <cell r="F206">
            <v>53.26</v>
          </cell>
          <cell r="G206">
            <v>53.29</v>
          </cell>
          <cell r="H206">
            <v>53.28</v>
          </cell>
          <cell r="I206">
            <v>53.31</v>
          </cell>
          <cell r="J206">
            <v>53.26</v>
          </cell>
          <cell r="K206">
            <v>53.24</v>
          </cell>
          <cell r="L206">
            <v>53.25</v>
          </cell>
          <cell r="M206">
            <v>53.3</v>
          </cell>
          <cell r="N206" t="str">
            <v>언더컷</v>
          </cell>
          <cell r="O206">
            <v>52.8</v>
          </cell>
          <cell r="P206">
            <v>52.79</v>
          </cell>
          <cell r="Q206">
            <v>52.81</v>
          </cell>
          <cell r="R206">
            <v>52.82</v>
          </cell>
          <cell r="S206">
            <v>52.83</v>
          </cell>
          <cell r="T206">
            <v>52.81</v>
          </cell>
          <cell r="U206">
            <v>52.78</v>
          </cell>
          <cell r="V206">
            <v>52.74</v>
          </cell>
        </row>
        <row r="207">
          <cell r="A207" t="str">
            <v>SI1558_20250120</v>
          </cell>
          <cell r="B207" t="str">
            <v>유재호</v>
          </cell>
          <cell r="C207">
            <v>45677</v>
          </cell>
          <cell r="D207" t="str">
            <v>라보에이치 모발강화 트리트먼트 200ml 50파이 장식</v>
          </cell>
          <cell r="E207" t="str">
            <v>외경</v>
          </cell>
          <cell r="F207">
            <v>44.2</v>
          </cell>
          <cell r="G207">
            <v>44.19</v>
          </cell>
          <cell r="H207">
            <v>44.15</v>
          </cell>
          <cell r="I207">
            <v>44.16</v>
          </cell>
          <cell r="J207">
            <v>44.2</v>
          </cell>
          <cell r="K207">
            <v>44.16</v>
          </cell>
          <cell r="L207">
            <v>44.19</v>
          </cell>
          <cell r="M207">
            <v>44.18</v>
          </cell>
          <cell r="N207" t="str">
            <v>언더컷</v>
          </cell>
          <cell r="O207">
            <v>43.69</v>
          </cell>
          <cell r="P207">
            <v>43.64</v>
          </cell>
          <cell r="Q207">
            <v>43.65</v>
          </cell>
          <cell r="R207">
            <v>43.65</v>
          </cell>
          <cell r="S207">
            <v>43.69</v>
          </cell>
          <cell r="T207">
            <v>43.63</v>
          </cell>
          <cell r="U207">
            <v>43.66</v>
          </cell>
          <cell r="V207">
            <v>43.67</v>
          </cell>
        </row>
        <row r="208">
          <cell r="A208" t="str">
            <v>SI1538_20241008</v>
          </cell>
          <cell r="B208" t="str">
            <v>장세래</v>
          </cell>
          <cell r="C208">
            <v>45579</v>
          </cell>
          <cell r="D208" t="str">
            <v>설화수 진설클렌징폼 150ml (25AD 외캡</v>
          </cell>
          <cell r="E208" t="str">
            <v>외경</v>
          </cell>
        </row>
        <row r="209">
          <cell r="A209" t="str">
            <v>SI0992_20241014</v>
          </cell>
          <cell r="B209" t="str">
            <v>장세래</v>
          </cell>
          <cell r="C209">
            <v>45583</v>
          </cell>
          <cell r="D209" t="str">
            <v>일리윤 히알루론모이스춰수분크림 100ML (24 외용기 사출</v>
          </cell>
          <cell r="E209" t="str">
            <v>외경</v>
          </cell>
          <cell r="F209">
            <v>75.3</v>
          </cell>
          <cell r="G209">
            <v>75.3</v>
          </cell>
          <cell r="H209">
            <v>75.33</v>
          </cell>
          <cell r="I209">
            <v>75.33</v>
          </cell>
        </row>
        <row r="210">
          <cell r="A210" t="str">
            <v>SI0993_20241014</v>
          </cell>
          <cell r="B210" t="str">
            <v>장세래</v>
          </cell>
          <cell r="C210">
            <v>45583</v>
          </cell>
          <cell r="D210" t="str">
            <v>일리윤 프로바이오틱스 스킨 배리어 크림 100ML 캡 사출</v>
          </cell>
          <cell r="E210" t="str">
            <v>외경</v>
          </cell>
          <cell r="F210">
            <v>75.069999999999993</v>
          </cell>
          <cell r="G210">
            <v>75.06</v>
          </cell>
          <cell r="H210">
            <v>75.08</v>
          </cell>
          <cell r="I210">
            <v>75.08</v>
          </cell>
          <cell r="N210" t="str">
            <v>나사경</v>
          </cell>
          <cell r="O210">
            <v>69.709999999999994</v>
          </cell>
          <cell r="P210">
            <v>69.7</v>
          </cell>
          <cell r="Q210">
            <v>69.69</v>
          </cell>
          <cell r="R210">
            <v>69.709999999999994</v>
          </cell>
        </row>
        <row r="211">
          <cell r="A211" t="str">
            <v>SI0994_20241014</v>
          </cell>
          <cell r="B211" t="str">
            <v>장세래</v>
          </cell>
          <cell r="C211">
            <v>45584</v>
          </cell>
          <cell r="D211" t="str">
            <v>일리윤 히알루론모이스춰수분크림 100ML (21 내용기 사출</v>
          </cell>
          <cell r="E211" t="str">
            <v>언더컷</v>
          </cell>
          <cell r="F211">
            <v>71.8</v>
          </cell>
          <cell r="G211">
            <v>71.790000000000006</v>
          </cell>
          <cell r="H211">
            <v>71.81</v>
          </cell>
          <cell r="I211">
            <v>71.81</v>
          </cell>
          <cell r="N211" t="str">
            <v>나사경</v>
          </cell>
          <cell r="O211">
            <v>70.72</v>
          </cell>
          <cell r="P211">
            <v>70.739999999999995</v>
          </cell>
          <cell r="Q211">
            <v>70.72</v>
          </cell>
          <cell r="R211">
            <v>70.72</v>
          </cell>
        </row>
        <row r="212">
          <cell r="A212" t="str">
            <v>SI1539_20241017</v>
          </cell>
          <cell r="B212" t="str">
            <v>유재호</v>
          </cell>
          <cell r="C212">
            <v>45587</v>
          </cell>
          <cell r="D212" t="str">
            <v>설화수 진설클렌징폼 150ml (25AD 내캡</v>
          </cell>
          <cell r="E212" t="str">
            <v>외경</v>
          </cell>
        </row>
        <row r="213">
          <cell r="A213" t="str">
            <v>SI1553_20241017</v>
          </cell>
          <cell r="B213" t="str">
            <v>유재호</v>
          </cell>
          <cell r="C213">
            <v>45587</v>
          </cell>
          <cell r="D213" t="str">
            <v>설화수 진설클렌징폼 견본 40ml (25AD 내캡</v>
          </cell>
          <cell r="E213" t="str">
            <v>외경</v>
          </cell>
        </row>
        <row r="214">
          <cell r="A214" t="str">
            <v>SI1538_20241017</v>
          </cell>
          <cell r="B214" t="str">
            <v>김도균</v>
          </cell>
          <cell r="C214">
            <v>45588</v>
          </cell>
          <cell r="D214" t="str">
            <v>설화수 진설클렌징폼 150ml (25AD 외캡</v>
          </cell>
          <cell r="E214" t="str">
            <v>외경</v>
          </cell>
          <cell r="N214" t="str">
            <v>내경</v>
          </cell>
          <cell r="W214" t="str">
            <v>언더컷</v>
          </cell>
        </row>
        <row r="215">
          <cell r="A215" t="str">
            <v>SI1554_20241017-1</v>
          </cell>
          <cell r="B215" t="str">
            <v>유재호</v>
          </cell>
          <cell r="C215">
            <v>45588</v>
          </cell>
          <cell r="D215" t="str">
            <v>설화수 진설클렌징폼 견본 40ml (25AD 외캡</v>
          </cell>
          <cell r="E215" t="str">
            <v>외경</v>
          </cell>
        </row>
        <row r="216">
          <cell r="A216" t="str">
            <v>SI1554_20241017-2</v>
          </cell>
          <cell r="B216" t="str">
            <v>유재호</v>
          </cell>
          <cell r="C216">
            <v>45588</v>
          </cell>
          <cell r="D216" t="str">
            <v>설화수 진설클렌징폼 견본 40ml (25AD 외캡</v>
          </cell>
          <cell r="E216" t="str">
            <v>외경</v>
          </cell>
        </row>
        <row r="217">
          <cell r="A217" t="str">
            <v>SI1554_20241017</v>
          </cell>
          <cell r="B217" t="str">
            <v>유재호</v>
          </cell>
          <cell r="C217">
            <v>45588</v>
          </cell>
          <cell r="D217" t="str">
            <v>설화수 진설클렌징폼 견본 40ml (25AD 외캡</v>
          </cell>
          <cell r="E217" t="str">
            <v>외경</v>
          </cell>
        </row>
        <row r="218">
          <cell r="A218" t="str">
            <v>SI1537_20241017</v>
          </cell>
          <cell r="B218" t="str">
            <v>김도균</v>
          </cell>
          <cell r="C218">
            <v>45588</v>
          </cell>
          <cell r="D218" t="str">
            <v>설화수 진설클렌징폼 150ml (25AD 캡장식</v>
          </cell>
          <cell r="E218" t="str">
            <v>외경</v>
          </cell>
          <cell r="N218" t="str">
            <v>내경</v>
          </cell>
          <cell r="W218" t="str">
            <v>언더컷</v>
          </cell>
        </row>
        <row r="219">
          <cell r="A219" t="str">
            <v>SI1544_20241017</v>
          </cell>
          <cell r="B219" t="str">
            <v>유재호</v>
          </cell>
          <cell r="C219">
            <v>45594</v>
          </cell>
          <cell r="D219" t="str">
            <v>설화수 진설클렌징폼 견본 15ml (25AD 외캡</v>
          </cell>
          <cell r="E219" t="str">
            <v>외경</v>
          </cell>
          <cell r="F219">
            <v>24.62</v>
          </cell>
          <cell r="G219">
            <v>24.62</v>
          </cell>
          <cell r="H219">
            <v>24.61</v>
          </cell>
          <cell r="I219">
            <v>24.63</v>
          </cell>
          <cell r="N219" t="str">
            <v>내경</v>
          </cell>
          <cell r="O219">
            <v>21.68</v>
          </cell>
          <cell r="P219">
            <v>21.67</v>
          </cell>
          <cell r="Q219">
            <v>21.69</v>
          </cell>
          <cell r="R219">
            <v>21.68</v>
          </cell>
        </row>
        <row r="220">
          <cell r="A220" t="str">
            <v>SI1545_20241017</v>
          </cell>
          <cell r="B220" t="str">
            <v>유재호</v>
          </cell>
          <cell r="C220">
            <v>45594</v>
          </cell>
          <cell r="D220" t="str">
            <v>설화수 진설클렌징폼 견본 15ml (25AD 내캡</v>
          </cell>
          <cell r="E220" t="str">
            <v>외경</v>
          </cell>
          <cell r="F220">
            <v>22.55</v>
          </cell>
          <cell r="G220">
            <v>22.56</v>
          </cell>
          <cell r="H220">
            <v>22.55</v>
          </cell>
          <cell r="I220">
            <v>22.54</v>
          </cell>
          <cell r="N220" t="str">
            <v>나사경</v>
          </cell>
          <cell r="O220">
            <v>11.03</v>
          </cell>
          <cell r="P220">
            <v>11.03</v>
          </cell>
          <cell r="Q220">
            <v>11.04</v>
          </cell>
          <cell r="R220">
            <v>11.04</v>
          </cell>
        </row>
        <row r="221">
          <cell r="A221" t="str">
            <v>SI1522_20241028</v>
          </cell>
          <cell r="B221" t="str">
            <v>유재호</v>
          </cell>
          <cell r="C221">
            <v>45594</v>
          </cell>
          <cell r="D221" t="str">
            <v>아이오페 슈퍼바이탈 크림 50ML(24EC 내캡</v>
          </cell>
          <cell r="E221" t="str">
            <v>언더컷</v>
          </cell>
          <cell r="F221">
            <v>65.31</v>
          </cell>
          <cell r="G221">
            <v>65.3</v>
          </cell>
          <cell r="H221">
            <v>65.3</v>
          </cell>
          <cell r="I221">
            <v>65.31</v>
          </cell>
          <cell r="N221" t="str">
            <v>외경</v>
          </cell>
          <cell r="O221">
            <v>66.09</v>
          </cell>
          <cell r="P221">
            <v>66.13</v>
          </cell>
          <cell r="Q221">
            <v>66.099999999999994</v>
          </cell>
          <cell r="R221">
            <v>66.11</v>
          </cell>
        </row>
        <row r="222">
          <cell r="A222" t="str">
            <v>SI1518_20241028</v>
          </cell>
          <cell r="B222" t="str">
            <v>장세래</v>
          </cell>
          <cell r="C222">
            <v>45594</v>
          </cell>
          <cell r="D222" t="str">
            <v>아이오페 슈퍼바이탈 크림 50ML(24EC 외용기</v>
          </cell>
          <cell r="E222" t="str">
            <v>외경</v>
          </cell>
          <cell r="F222">
            <v>68.95</v>
          </cell>
          <cell r="G222">
            <v>68.94</v>
          </cell>
          <cell r="H222">
            <v>68.959999999999994</v>
          </cell>
          <cell r="I222">
            <v>68.95</v>
          </cell>
          <cell r="N222" t="str">
            <v>키잡이</v>
          </cell>
          <cell r="O222">
            <v>65.27</v>
          </cell>
          <cell r="P222">
            <v>65.260000000000005</v>
          </cell>
          <cell r="Q222">
            <v>65.260000000000005</v>
          </cell>
          <cell r="R222">
            <v>65.25</v>
          </cell>
        </row>
        <row r="223">
          <cell r="A223" t="str">
            <v>SI1520_20241028</v>
          </cell>
          <cell r="B223" t="str">
            <v>장세래</v>
          </cell>
          <cell r="C223">
            <v>45594</v>
          </cell>
          <cell r="D223" t="str">
            <v>아이오페 슈퍼바이탈 크림 50ML(24EC 용기받침</v>
          </cell>
          <cell r="E223" t="str">
            <v>외경</v>
          </cell>
          <cell r="F223">
            <v>71.61</v>
          </cell>
          <cell r="G223">
            <v>71.61</v>
          </cell>
          <cell r="H223">
            <v>71.61</v>
          </cell>
          <cell r="I223">
            <v>71.599999999999994</v>
          </cell>
          <cell r="N223" t="str">
            <v>언더컷</v>
          </cell>
          <cell r="O223">
            <v>63.27</v>
          </cell>
          <cell r="P223">
            <v>63.25</v>
          </cell>
          <cell r="Q223">
            <v>63.23</v>
          </cell>
          <cell r="R223">
            <v>63.27</v>
          </cell>
        </row>
        <row r="224">
          <cell r="A224" t="str">
            <v>SI1516_20241028</v>
          </cell>
          <cell r="B224" t="str">
            <v>장세래</v>
          </cell>
          <cell r="C224">
            <v>45594</v>
          </cell>
          <cell r="D224" t="str">
            <v>아이오페 슈퍼바이탈 크림 50ML(24EC 외캡</v>
          </cell>
          <cell r="E224" t="str">
            <v>외경</v>
          </cell>
          <cell r="N224" t="str">
            <v>언더컷</v>
          </cell>
        </row>
        <row r="225">
          <cell r="A225" t="str">
            <v>SI1542_20241029</v>
          </cell>
          <cell r="B225" t="str">
            <v>장세래</v>
          </cell>
          <cell r="C225">
            <v>45596</v>
          </cell>
          <cell r="D225" t="str">
            <v>아이오페 스템Ⅲ 클리니컬 리커버리 크림 50ML(25) 내캡 사출</v>
          </cell>
          <cell r="E225" t="str">
            <v>내경</v>
          </cell>
          <cell r="F225">
            <v>60.48</v>
          </cell>
          <cell r="G225">
            <v>60.49</v>
          </cell>
          <cell r="H225">
            <v>60.48</v>
          </cell>
          <cell r="I225">
            <v>60.54</v>
          </cell>
          <cell r="N225" t="str">
            <v>나사경</v>
          </cell>
          <cell r="O225">
            <v>58.44</v>
          </cell>
          <cell r="P225">
            <v>58.46</v>
          </cell>
          <cell r="Q225">
            <v>58.48</v>
          </cell>
          <cell r="R225">
            <v>58.52</v>
          </cell>
        </row>
        <row r="226">
          <cell r="A226" t="str">
            <v>SI1540_20241029</v>
          </cell>
          <cell r="B226" t="str">
            <v>장세래</v>
          </cell>
          <cell r="C226">
            <v>45596</v>
          </cell>
          <cell r="D226" t="str">
            <v>아이오페 스템Ⅲ 클리니컬 리커버리 크림 50ML(25) 캡장식 사출</v>
          </cell>
          <cell r="E226" t="str">
            <v>외경</v>
          </cell>
          <cell r="F226">
            <v>74.290000000000006</v>
          </cell>
          <cell r="G226">
            <v>74.400000000000006</v>
          </cell>
          <cell r="H226">
            <v>74.39</v>
          </cell>
          <cell r="I226">
            <v>74.290000000000006</v>
          </cell>
          <cell r="N226" t="str">
            <v>언더컷</v>
          </cell>
          <cell r="O226">
            <v>47.1</v>
          </cell>
          <cell r="P226">
            <v>47.1</v>
          </cell>
          <cell r="Q226">
            <v>47.09</v>
          </cell>
          <cell r="R226">
            <v>47.1</v>
          </cell>
        </row>
        <row r="227">
          <cell r="A227" t="str">
            <v>SI1541_20241029</v>
          </cell>
          <cell r="B227" t="str">
            <v>한창구</v>
          </cell>
          <cell r="C227">
            <v>45597</v>
          </cell>
          <cell r="D227" t="str">
            <v>아이오페 스템Ⅲ 클리니컬 리커버리 크림 50ML(25) 외캡 사출</v>
          </cell>
          <cell r="E227" t="str">
            <v>외경</v>
          </cell>
          <cell r="F227">
            <v>74.900000000000006</v>
          </cell>
          <cell r="G227">
            <v>74.92</v>
          </cell>
          <cell r="H227">
            <v>74.930000000000007</v>
          </cell>
          <cell r="I227">
            <v>74.92</v>
          </cell>
          <cell r="N227" t="str">
            <v>언더컷</v>
          </cell>
          <cell r="O227">
            <v>68.48</v>
          </cell>
          <cell r="P227">
            <v>68.52</v>
          </cell>
          <cell r="Q227">
            <v>68.540000000000006</v>
          </cell>
          <cell r="R227">
            <v>68.489999999999995</v>
          </cell>
        </row>
        <row r="228">
          <cell r="A228" t="str">
            <v>SI1557_20241026</v>
          </cell>
          <cell r="B228" t="str">
            <v>유재호</v>
          </cell>
          <cell r="C228">
            <v>45597</v>
          </cell>
          <cell r="D228" t="str">
            <v>라보에이치 모발강화 트리트먼트 200ml 50파이 원터치캡</v>
          </cell>
          <cell r="E228" t="str">
            <v>외경</v>
          </cell>
          <cell r="F228">
            <v>45.2</v>
          </cell>
          <cell r="G228">
            <v>45.16</v>
          </cell>
          <cell r="H228">
            <v>45.26</v>
          </cell>
          <cell r="I228">
            <v>45.2</v>
          </cell>
          <cell r="J228">
            <v>45.22</v>
          </cell>
          <cell r="K228">
            <v>45.24</v>
          </cell>
          <cell r="L228">
            <v>45.22</v>
          </cell>
          <cell r="M228">
            <v>45.24</v>
          </cell>
          <cell r="N228" t="str">
            <v>나사경</v>
          </cell>
          <cell r="O228">
            <v>23.46</v>
          </cell>
          <cell r="P228">
            <v>23.5</v>
          </cell>
          <cell r="Q228">
            <v>23.49</v>
          </cell>
          <cell r="R228">
            <v>23.41</v>
          </cell>
          <cell r="S228">
            <v>23.5</v>
          </cell>
          <cell r="T228">
            <v>23.47</v>
          </cell>
          <cell r="U228">
            <v>23.52</v>
          </cell>
          <cell r="V228">
            <v>23.51</v>
          </cell>
        </row>
        <row r="229">
          <cell r="A229" t="str">
            <v>SI1542_20241014</v>
          </cell>
          <cell r="C229">
            <v>45584</v>
          </cell>
          <cell r="D229" t="str">
            <v>아이오페 스템Ⅲ 클리니컬 리커버리 크림 50ML(25) 내캡 사출</v>
          </cell>
          <cell r="E229" t="str">
            <v>언더컷</v>
          </cell>
          <cell r="F229">
            <v>69.37</v>
          </cell>
          <cell r="G229">
            <v>69.349999999999994</v>
          </cell>
          <cell r="H229">
            <v>69.430000000000007</v>
          </cell>
          <cell r="I229">
            <v>69.41</v>
          </cell>
          <cell r="N229" t="str">
            <v>나사경</v>
          </cell>
          <cell r="O229">
            <v>58.54</v>
          </cell>
          <cell r="P229">
            <v>58.53</v>
          </cell>
          <cell r="Q229">
            <v>58.54</v>
          </cell>
          <cell r="R229">
            <v>58.54</v>
          </cell>
        </row>
        <row r="230">
          <cell r="A230" t="str">
            <v>SI1559_20241026</v>
          </cell>
          <cell r="C230">
            <v>45597</v>
          </cell>
          <cell r="D230" t="str">
            <v>라보에이치 모발강화 트리트먼트 300ml 60파이 원터치캡</v>
          </cell>
          <cell r="E230" t="str">
            <v>외경</v>
          </cell>
          <cell r="F230">
            <v>54.23</v>
          </cell>
          <cell r="G230">
            <v>54.32</v>
          </cell>
          <cell r="H230">
            <v>54.36</v>
          </cell>
          <cell r="I230">
            <v>54.31</v>
          </cell>
          <cell r="J230">
            <v>54.16</v>
          </cell>
          <cell r="K230">
            <v>54.21</v>
          </cell>
          <cell r="L230">
            <v>54.31</v>
          </cell>
          <cell r="M230">
            <v>54.21</v>
          </cell>
        </row>
        <row r="231">
          <cell r="A231" t="str">
            <v>SI1560_20241026</v>
          </cell>
          <cell r="C231">
            <v>45601</v>
          </cell>
          <cell r="D231" t="str">
            <v>라보에이치 모발강화 트리트먼트 300ml 60파이 장식</v>
          </cell>
          <cell r="E231" t="str">
            <v>외경</v>
          </cell>
          <cell r="F231">
            <v>53.2</v>
          </cell>
          <cell r="G231">
            <v>53.19</v>
          </cell>
          <cell r="H231">
            <v>53.19</v>
          </cell>
          <cell r="I231">
            <v>53.14</v>
          </cell>
          <cell r="J231">
            <v>53.19</v>
          </cell>
          <cell r="K231">
            <v>53.2</v>
          </cell>
          <cell r="L231">
            <v>53.18</v>
          </cell>
          <cell r="M231">
            <v>53.15</v>
          </cell>
          <cell r="N231" t="str">
            <v>언더컷</v>
          </cell>
          <cell r="O231">
            <v>46.37</v>
          </cell>
          <cell r="P231">
            <v>46.4</v>
          </cell>
          <cell r="Q231">
            <v>46.37</v>
          </cell>
          <cell r="R231">
            <v>46.38</v>
          </cell>
          <cell r="S231">
            <v>46.39</v>
          </cell>
          <cell r="T231">
            <v>46.38</v>
          </cell>
          <cell r="U231">
            <v>46.38</v>
          </cell>
          <cell r="V231">
            <v>46.37</v>
          </cell>
        </row>
        <row r="232">
          <cell r="A232" t="str">
            <v>SI1558_20241026</v>
          </cell>
          <cell r="C232">
            <v>45601</v>
          </cell>
          <cell r="D232" t="str">
            <v>라보에이치 모발강화 트리트먼트 200ml 50파이 장식</v>
          </cell>
          <cell r="E232" t="str">
            <v>외경</v>
          </cell>
          <cell r="F232">
            <v>44.11</v>
          </cell>
          <cell r="G232">
            <v>44.1</v>
          </cell>
          <cell r="H232">
            <v>44.14</v>
          </cell>
          <cell r="I232">
            <v>44.12</v>
          </cell>
          <cell r="J232">
            <v>44.13</v>
          </cell>
          <cell r="K232">
            <v>44.11</v>
          </cell>
          <cell r="L232">
            <v>44.13</v>
          </cell>
          <cell r="M232">
            <v>44.12</v>
          </cell>
          <cell r="N232" t="str">
            <v>언더컷</v>
          </cell>
        </row>
        <row r="233">
          <cell r="A233" t="str">
            <v>SI1553_20241101</v>
          </cell>
          <cell r="B233" t="str">
            <v>한창구</v>
          </cell>
          <cell r="C233">
            <v>45602</v>
          </cell>
          <cell r="D233" t="str">
            <v>설화수 진설클렌징폼 견본 40ml (25AD 내캡</v>
          </cell>
          <cell r="E233" t="str">
            <v>외경</v>
          </cell>
        </row>
        <row r="234">
          <cell r="A234" t="str">
            <v>SI1554_20241031</v>
          </cell>
          <cell r="B234" t="str">
            <v>한창구</v>
          </cell>
          <cell r="C234">
            <v>45602</v>
          </cell>
          <cell r="D234" t="str">
            <v>설화수 진설클렌징폼 견본 40ml (25AD 외캡</v>
          </cell>
          <cell r="E234" t="str">
            <v>외경</v>
          </cell>
        </row>
        <row r="235">
          <cell r="A235" t="str">
            <v>SI1519_20241108</v>
          </cell>
          <cell r="B235" t="str">
            <v>유재호</v>
          </cell>
          <cell r="C235">
            <v>45607</v>
          </cell>
          <cell r="D235" t="str">
            <v>아이오페 슈퍼바이탈 크림 50ML(24EC 내용기</v>
          </cell>
          <cell r="E235" t="str">
            <v>외경</v>
          </cell>
          <cell r="N235" t="str">
            <v>나사경</v>
          </cell>
        </row>
        <row r="236">
          <cell r="A236" t="str">
            <v>SI1537_20241109</v>
          </cell>
          <cell r="B236" t="str">
            <v>유재호</v>
          </cell>
          <cell r="C236">
            <v>45608</v>
          </cell>
          <cell r="D236" t="str">
            <v>설화수 진설클렌징폼 150ml (25AD 캡장식</v>
          </cell>
          <cell r="E236" t="str">
            <v>외경</v>
          </cell>
          <cell r="N236" t="str">
            <v>내경</v>
          </cell>
        </row>
        <row r="237">
          <cell r="A237" t="str">
            <v>SI1542_20241112</v>
          </cell>
          <cell r="B237" t="str">
            <v>유재호</v>
          </cell>
          <cell r="C237">
            <v>45609</v>
          </cell>
          <cell r="D237" t="str">
            <v>아이오페 스템Ⅲ 클리니컬 리커버리 크림 50ML(25) 내캡 사출</v>
          </cell>
          <cell r="E237" t="str">
            <v>내경</v>
          </cell>
          <cell r="F237">
            <v>60.6</v>
          </cell>
          <cell r="G237">
            <v>60.6</v>
          </cell>
          <cell r="H237">
            <v>60.66</v>
          </cell>
          <cell r="I237">
            <v>60.69</v>
          </cell>
          <cell r="O237">
            <v>58.62</v>
          </cell>
          <cell r="P237">
            <v>58.6</v>
          </cell>
          <cell r="Q237">
            <v>58.62</v>
          </cell>
          <cell r="R237">
            <v>58.66</v>
          </cell>
          <cell r="W237" t="str">
            <v>외경</v>
          </cell>
          <cell r="X237">
            <v>75.180000000000007</v>
          </cell>
          <cell r="Y237">
            <v>75.13</v>
          </cell>
          <cell r="Z237">
            <v>75.069999999999993</v>
          </cell>
          <cell r="AA237">
            <v>75.12</v>
          </cell>
        </row>
        <row r="238">
          <cell r="A238" t="str">
            <v>SI1540_20241112</v>
          </cell>
          <cell r="C238">
            <v>45609</v>
          </cell>
          <cell r="D238" t="str">
            <v>아이오페 스템Ⅲ 클리니컬 리커버리 크림 50ML(25) 캡장식 사출</v>
          </cell>
          <cell r="E238" t="str">
            <v>외경</v>
          </cell>
          <cell r="F238">
            <v>74.41</v>
          </cell>
          <cell r="G238">
            <v>74.47</v>
          </cell>
          <cell r="H238">
            <v>74.48</v>
          </cell>
          <cell r="I238">
            <v>74.47</v>
          </cell>
          <cell r="O238">
            <v>47.01</v>
          </cell>
          <cell r="P238">
            <v>47.02</v>
          </cell>
          <cell r="Q238">
            <v>47</v>
          </cell>
          <cell r="R238">
            <v>47.03</v>
          </cell>
        </row>
        <row r="239">
          <cell r="A239" t="str">
            <v>SI1554_20241112</v>
          </cell>
          <cell r="B239" t="str">
            <v>유재호</v>
          </cell>
          <cell r="C239">
            <v>45615</v>
          </cell>
          <cell r="D239" t="str">
            <v>설화수 진설클렌징폼 견본 40ml (25AD 외캡</v>
          </cell>
          <cell r="E239" t="str">
            <v>외경</v>
          </cell>
          <cell r="F239">
            <v>34.43</v>
          </cell>
          <cell r="G239">
            <v>34.479999999999997</v>
          </cell>
          <cell r="H239">
            <v>34.47</v>
          </cell>
          <cell r="I239">
            <v>34.46</v>
          </cell>
          <cell r="N239" t="str">
            <v>언더컷</v>
          </cell>
          <cell r="O239">
            <v>31.37</v>
          </cell>
          <cell r="P239">
            <v>31.35</v>
          </cell>
          <cell r="Q239">
            <v>31.41</v>
          </cell>
          <cell r="R239">
            <v>31.39</v>
          </cell>
        </row>
        <row r="240">
          <cell r="A240" t="str">
            <v>SI1553_20241112</v>
          </cell>
          <cell r="B240" t="str">
            <v>유재호</v>
          </cell>
          <cell r="C240">
            <v>45615</v>
          </cell>
          <cell r="D240" t="str">
            <v>설화수 진설클렌징폼 견본 40ml (25AD 내캡</v>
          </cell>
          <cell r="E240" t="str">
            <v>외경</v>
          </cell>
          <cell r="F240">
            <v>32.28</v>
          </cell>
          <cell r="G240">
            <v>32.29</v>
          </cell>
          <cell r="H240">
            <v>32.28</v>
          </cell>
          <cell r="I240">
            <v>32.31</v>
          </cell>
        </row>
        <row r="241">
          <cell r="A241" t="str">
            <v>SI1539_20241108</v>
          </cell>
          <cell r="B241" t="str">
            <v>유재호</v>
          </cell>
          <cell r="C241">
            <v>45616</v>
          </cell>
          <cell r="D241" t="str">
            <v>설화수 진설클렌징폼 150ml (25AD 내캡</v>
          </cell>
          <cell r="E241" t="str">
            <v>외경</v>
          </cell>
          <cell r="F241">
            <v>45.8</v>
          </cell>
          <cell r="G241">
            <v>45.75</v>
          </cell>
          <cell r="H241">
            <v>45.83</v>
          </cell>
          <cell r="I241">
            <v>45.8</v>
          </cell>
          <cell r="N241" t="str">
            <v>나사경</v>
          </cell>
          <cell r="O241">
            <v>17.73</v>
          </cell>
          <cell r="P241">
            <v>17.73</v>
          </cell>
          <cell r="Q241">
            <v>17.739999999999998</v>
          </cell>
          <cell r="R241">
            <v>17.73</v>
          </cell>
        </row>
        <row r="242">
          <cell r="A242" t="str">
            <v>SI1544_20241118</v>
          </cell>
          <cell r="B242" t="str">
            <v>유재호</v>
          </cell>
          <cell r="C242">
            <v>45616</v>
          </cell>
          <cell r="D242" t="str">
            <v>설화수 진설클렌징폼 견본 15ml (25AD 외캡</v>
          </cell>
          <cell r="E242" t="str">
            <v>외경</v>
          </cell>
          <cell r="F242">
            <v>24.64</v>
          </cell>
          <cell r="G242">
            <v>24.64</v>
          </cell>
          <cell r="H242">
            <v>24.67</v>
          </cell>
          <cell r="I242">
            <v>24.65</v>
          </cell>
          <cell r="N242" t="str">
            <v>내경</v>
          </cell>
          <cell r="O242">
            <v>21.63</v>
          </cell>
          <cell r="P242">
            <v>21.61</v>
          </cell>
          <cell r="Q242">
            <v>21.6</v>
          </cell>
          <cell r="R242">
            <v>21.67</v>
          </cell>
        </row>
        <row r="243">
          <cell r="A243" t="str">
            <v>SI1545_20241118</v>
          </cell>
          <cell r="B243" t="str">
            <v>유재호</v>
          </cell>
          <cell r="C243">
            <v>45616</v>
          </cell>
          <cell r="D243" t="str">
            <v>설화수 진설클렌징폼 견본 15ml (25AD 내캡</v>
          </cell>
          <cell r="E243" t="str">
            <v>언더컷</v>
          </cell>
          <cell r="F243">
            <v>21.83</v>
          </cell>
          <cell r="G243">
            <v>21.91</v>
          </cell>
          <cell r="H243">
            <v>21.88</v>
          </cell>
          <cell r="I243">
            <v>21.87</v>
          </cell>
          <cell r="N243" t="str">
            <v>나사경</v>
          </cell>
          <cell r="O243">
            <v>11.02</v>
          </cell>
          <cell r="P243">
            <v>11.03</v>
          </cell>
          <cell r="Q243">
            <v>10.98</v>
          </cell>
          <cell r="R243">
            <v>11</v>
          </cell>
        </row>
        <row r="244">
          <cell r="A244" t="str">
            <v>SI1557_20241115</v>
          </cell>
          <cell r="B244" t="str">
            <v>유재호</v>
          </cell>
          <cell r="C244">
            <v>45618</v>
          </cell>
          <cell r="D244" t="str">
            <v>라보에이치 모발강화 트리트먼트 200ml 50파이 원터치캡</v>
          </cell>
          <cell r="E244" t="str">
            <v>언더컷</v>
          </cell>
          <cell r="F244">
            <v>35.69</v>
          </cell>
          <cell r="G244">
            <v>35.64</v>
          </cell>
          <cell r="H244">
            <v>35.630000000000003</v>
          </cell>
          <cell r="I244">
            <v>35.659999999999997</v>
          </cell>
          <cell r="J244">
            <v>35.659999999999997</v>
          </cell>
          <cell r="K244">
            <v>35.65</v>
          </cell>
          <cell r="L244">
            <v>35.67</v>
          </cell>
          <cell r="M244">
            <v>35.659999999999997</v>
          </cell>
          <cell r="N244" t="str">
            <v>나사경</v>
          </cell>
          <cell r="O244">
            <v>23.52</v>
          </cell>
          <cell r="P244">
            <v>23.5</v>
          </cell>
          <cell r="Q244">
            <v>23.5</v>
          </cell>
          <cell r="R244">
            <v>23.48</v>
          </cell>
          <cell r="S244">
            <v>23.49</v>
          </cell>
          <cell r="T244">
            <v>23.5</v>
          </cell>
          <cell r="U244">
            <v>23.48</v>
          </cell>
          <cell r="V244">
            <v>23.52</v>
          </cell>
        </row>
        <row r="245">
          <cell r="A245" t="str">
            <v>SI1559_20241115</v>
          </cell>
          <cell r="B245" t="str">
            <v>유재호</v>
          </cell>
          <cell r="C245">
            <v>45618</v>
          </cell>
          <cell r="D245" t="str">
            <v>라보에이치 모발강화 트리트먼트 300ml 60파이 원터치캡</v>
          </cell>
          <cell r="E245" t="str">
            <v>언더컷</v>
          </cell>
          <cell r="F245">
            <v>44.23</v>
          </cell>
          <cell r="G245">
            <v>44.2</v>
          </cell>
          <cell r="H245">
            <v>44.17</v>
          </cell>
          <cell r="I245">
            <v>44.2</v>
          </cell>
          <cell r="J245">
            <v>44.19</v>
          </cell>
          <cell r="K245">
            <v>44.19</v>
          </cell>
          <cell r="L245">
            <v>44.18</v>
          </cell>
          <cell r="M245">
            <v>44.19</v>
          </cell>
          <cell r="N245" t="str">
            <v>나사경</v>
          </cell>
          <cell r="O245">
            <v>23.5</v>
          </cell>
          <cell r="P245">
            <v>23.49</v>
          </cell>
          <cell r="Q245">
            <v>23.53</v>
          </cell>
          <cell r="R245">
            <v>23.55</v>
          </cell>
          <cell r="S245">
            <v>23.53</v>
          </cell>
          <cell r="T245">
            <v>23.51</v>
          </cell>
          <cell r="U245">
            <v>23.52</v>
          </cell>
          <cell r="V245">
            <v>23.51</v>
          </cell>
        </row>
        <row r="246">
          <cell r="A246" t="str">
            <v>SI1519_20241122</v>
          </cell>
          <cell r="B246" t="str">
            <v>장세래</v>
          </cell>
          <cell r="C246">
            <v>45621</v>
          </cell>
          <cell r="D246" t="str">
            <v>아이오페 슈퍼바이탈 크림 50ML(24EC 내용기</v>
          </cell>
          <cell r="E246" t="str">
            <v>나사외경</v>
          </cell>
          <cell r="F246">
            <v>51.73</v>
          </cell>
          <cell r="G246">
            <v>51.67</v>
          </cell>
          <cell r="H246">
            <v>51.6</v>
          </cell>
          <cell r="I246">
            <v>51.72</v>
          </cell>
          <cell r="N246" t="str">
            <v>나사내경</v>
          </cell>
          <cell r="O246">
            <v>49.23</v>
          </cell>
          <cell r="P246">
            <v>49.22</v>
          </cell>
          <cell r="Q246">
            <v>49.23</v>
          </cell>
          <cell r="R246">
            <v>49.25</v>
          </cell>
        </row>
        <row r="247">
          <cell r="A247" t="str">
            <v>SI1554_20241120</v>
          </cell>
          <cell r="B247" t="str">
            <v>한창구</v>
          </cell>
          <cell r="C247">
            <v>45622</v>
          </cell>
          <cell r="D247" t="str">
            <v>설화수 진설클렌징폼 견본 40ml (25AD 외캡</v>
          </cell>
          <cell r="E247" t="str">
            <v>외경</v>
          </cell>
          <cell r="F247">
            <v>34.43</v>
          </cell>
          <cell r="G247">
            <v>34.479999999999997</v>
          </cell>
          <cell r="H247">
            <v>34.47</v>
          </cell>
          <cell r="I247">
            <v>34.46</v>
          </cell>
          <cell r="N247" t="str">
            <v>언더컷</v>
          </cell>
          <cell r="O247">
            <v>31.35</v>
          </cell>
          <cell r="P247">
            <v>31.35</v>
          </cell>
          <cell r="Q247">
            <v>31.36</v>
          </cell>
          <cell r="R247">
            <v>31.37</v>
          </cell>
        </row>
        <row r="248">
          <cell r="A248" t="str">
            <v>SI1558_20241115</v>
          </cell>
          <cell r="B248" t="str">
            <v>장세래</v>
          </cell>
          <cell r="C248">
            <v>45624</v>
          </cell>
          <cell r="D248" t="str">
            <v>라보에이치 모발강화 트리트먼트 200ml 50파이 장식</v>
          </cell>
          <cell r="E248" t="str">
            <v>외경</v>
          </cell>
        </row>
        <row r="249">
          <cell r="A249" t="str">
            <v>SI1537_20241120</v>
          </cell>
          <cell r="C249">
            <v>45630</v>
          </cell>
          <cell r="D249" t="str">
            <v>설화수 진설클렌징폼 150ml (25AD 캡장식</v>
          </cell>
          <cell r="E249" t="str">
            <v>외경</v>
          </cell>
        </row>
        <row r="250">
          <cell r="A250" t="str">
            <v>SI1538_20241120</v>
          </cell>
          <cell r="C250">
            <v>45630</v>
          </cell>
          <cell r="D250" t="str">
            <v>설화수 진설클렌징폼 150ml (25AD 외캡</v>
          </cell>
          <cell r="E250" t="str">
            <v>외경</v>
          </cell>
          <cell r="F250">
            <v>48.71</v>
          </cell>
          <cell r="G250">
            <v>48.71</v>
          </cell>
          <cell r="H250">
            <v>48.71</v>
          </cell>
          <cell r="I250">
            <v>48.7</v>
          </cell>
        </row>
        <row r="251">
          <cell r="A251" t="str">
            <v>SI1539_20241120</v>
          </cell>
          <cell r="C251">
            <v>45630</v>
          </cell>
          <cell r="D251" t="str">
            <v>설화수 진설클렌징폼 150ml (25AD 내캡</v>
          </cell>
          <cell r="F251">
            <v>45.71</v>
          </cell>
          <cell r="G251">
            <v>45.72</v>
          </cell>
          <cell r="H251">
            <v>45.72</v>
          </cell>
          <cell r="I251">
            <v>45.72</v>
          </cell>
        </row>
        <row r="252">
          <cell r="A252" t="str">
            <v>SI1541_20241205</v>
          </cell>
          <cell r="B252" t="str">
            <v>장세래</v>
          </cell>
          <cell r="C252">
            <v>45635</v>
          </cell>
          <cell r="D252" t="str">
            <v>아이오페 스템Ⅲ 클리니컬 리커버리 크림 50ML(25) 외캡 사출</v>
          </cell>
          <cell r="E252" t="str">
            <v>내경</v>
          </cell>
          <cell r="F252">
            <v>72.22</v>
          </cell>
          <cell r="G252">
            <v>72.23</v>
          </cell>
          <cell r="H252">
            <v>72.239999999999995</v>
          </cell>
          <cell r="I252">
            <v>72.260000000000005</v>
          </cell>
          <cell r="N252" t="str">
            <v>외경</v>
          </cell>
          <cell r="O252">
            <v>74.94</v>
          </cell>
          <cell r="P252">
            <v>74.900000000000006</v>
          </cell>
          <cell r="Q252">
            <v>74.95</v>
          </cell>
          <cell r="R252">
            <v>74.95</v>
          </cell>
          <cell r="X252">
            <v>62.17</v>
          </cell>
          <cell r="Y252">
            <v>62.18</v>
          </cell>
          <cell r="Z252">
            <v>62.16</v>
          </cell>
          <cell r="AA252">
            <v>62.16</v>
          </cell>
        </row>
        <row r="253">
          <cell r="A253" t="str">
            <v>SI1540_20241205</v>
          </cell>
          <cell r="B253" t="str">
            <v>장세래</v>
          </cell>
          <cell r="C253">
            <v>45635</v>
          </cell>
          <cell r="D253" t="str">
            <v>아이오페 스템Ⅲ 클리니컬 리커버리 크림 50ML(25) 캡장식 사출</v>
          </cell>
        </row>
        <row r="254">
          <cell r="A254" t="str">
            <v>SI1542_20241205</v>
          </cell>
          <cell r="B254" t="str">
            <v>유재호</v>
          </cell>
          <cell r="C254">
            <v>45637</v>
          </cell>
          <cell r="D254" t="str">
            <v>아이오페 스템Ⅲ 클리니컬 리커버리 크림 50ML(25) 내캡 사출</v>
          </cell>
          <cell r="F254">
            <v>71.430000000000007</v>
          </cell>
          <cell r="G254">
            <v>71.400000000000006</v>
          </cell>
          <cell r="H254">
            <v>71.41</v>
          </cell>
          <cell r="I254">
            <v>71.39</v>
          </cell>
          <cell r="N254" t="str">
            <v>나사경</v>
          </cell>
          <cell r="O254">
            <v>58.53</v>
          </cell>
          <cell r="P254">
            <v>58.53</v>
          </cell>
          <cell r="Q254">
            <v>58.56</v>
          </cell>
          <cell r="R254">
            <v>58.56</v>
          </cell>
        </row>
        <row r="255">
          <cell r="A255" t="str">
            <v>SI1540_20241211</v>
          </cell>
          <cell r="B255" t="str">
            <v>장세래</v>
          </cell>
          <cell r="C255">
            <v>45637</v>
          </cell>
          <cell r="D255" t="str">
            <v>아이오페 스템Ⅲ 클리니컬 리커버리 크림 50ML(25) 캡장식 사출</v>
          </cell>
          <cell r="E255" t="str">
            <v>외경</v>
          </cell>
          <cell r="F255">
            <v>74.150000000000006</v>
          </cell>
          <cell r="G255">
            <v>74.17</v>
          </cell>
          <cell r="H255">
            <v>74.180000000000007</v>
          </cell>
          <cell r="I255">
            <v>74.16</v>
          </cell>
          <cell r="N255" t="str">
            <v>언더컷</v>
          </cell>
          <cell r="O255">
            <v>46.96</v>
          </cell>
          <cell r="P255">
            <v>49.92</v>
          </cell>
          <cell r="Q255">
            <v>46.94</v>
          </cell>
          <cell r="R255">
            <v>46.96</v>
          </cell>
        </row>
        <row r="256">
          <cell r="A256" t="str">
            <v>SI1540_20241216</v>
          </cell>
          <cell r="B256" t="str">
            <v>장세래</v>
          </cell>
          <cell r="C256">
            <v>45642</v>
          </cell>
          <cell r="D256" t="str">
            <v>아이오페 스템Ⅲ 클리니컬 리커버리 크림 50ML(25) 캡장식 사출</v>
          </cell>
          <cell r="E256" t="str">
            <v>외경</v>
          </cell>
          <cell r="F256">
            <v>74.180000000000007</v>
          </cell>
          <cell r="G256">
            <v>74.22</v>
          </cell>
          <cell r="H256">
            <v>74.22</v>
          </cell>
          <cell r="I256">
            <v>74.2</v>
          </cell>
          <cell r="N256" t="str">
            <v>언더컷</v>
          </cell>
          <cell r="O256">
            <v>46.97</v>
          </cell>
          <cell r="P256">
            <v>46.96</v>
          </cell>
          <cell r="Q256">
            <v>46.96</v>
          </cell>
          <cell r="R256">
            <v>46.96</v>
          </cell>
        </row>
        <row r="257">
          <cell r="A257" t="str">
            <v>SI1537_20241211</v>
          </cell>
          <cell r="B257" t="str">
            <v>장세래</v>
          </cell>
          <cell r="C257">
            <v>45642</v>
          </cell>
          <cell r="D257" t="str">
            <v>설화수 진설클렌징폼 150ml (25AD 캡장식</v>
          </cell>
          <cell r="F257">
            <v>45.42</v>
          </cell>
          <cell r="G257">
            <v>45.42</v>
          </cell>
          <cell r="H257">
            <v>45.43</v>
          </cell>
          <cell r="I257">
            <v>45.43</v>
          </cell>
        </row>
        <row r="258">
          <cell r="A258" t="str">
            <v>SI1519_20241215</v>
          </cell>
          <cell r="C258">
            <v>45643</v>
          </cell>
          <cell r="D258" t="str">
            <v>아이오페 슈퍼바이탈 크림 50ML(24EC 내용기</v>
          </cell>
          <cell r="F258">
            <v>51.79</v>
          </cell>
          <cell r="G258">
            <v>51.84</v>
          </cell>
          <cell r="H258">
            <v>51.77</v>
          </cell>
          <cell r="I258">
            <v>51.81</v>
          </cell>
        </row>
        <row r="259">
          <cell r="A259" t="str">
            <v>SI1586_20241218</v>
          </cell>
          <cell r="B259" t="str">
            <v>장세래</v>
          </cell>
          <cell r="C259">
            <v>45644</v>
          </cell>
          <cell r="D259" t="str">
            <v>아이오페 슈퍼바이탈 크림 50ML(24EC 외용기</v>
          </cell>
          <cell r="F259">
            <v>68.930000000000007</v>
          </cell>
          <cell r="G259">
            <v>68.930000000000007</v>
          </cell>
          <cell r="H259">
            <v>68.95</v>
          </cell>
          <cell r="I259">
            <v>68.930000000000007</v>
          </cell>
          <cell r="O259">
            <v>65.180000000000007</v>
          </cell>
          <cell r="P259">
            <v>65.22</v>
          </cell>
          <cell r="Q259">
            <v>65.239999999999995</v>
          </cell>
          <cell r="R259">
            <v>65.19</v>
          </cell>
        </row>
        <row r="260">
          <cell r="A260" t="str">
            <v>SI1586_20241219</v>
          </cell>
          <cell r="B260" t="str">
            <v>장세래</v>
          </cell>
          <cell r="C260">
            <v>45644</v>
          </cell>
          <cell r="D260" t="str">
            <v>아이오페 슈퍼바이탈 크림 50ML(24EC 외용기</v>
          </cell>
          <cell r="F260">
            <v>68.92</v>
          </cell>
          <cell r="G260">
            <v>68.900000000000006</v>
          </cell>
          <cell r="H260">
            <v>68.94</v>
          </cell>
          <cell r="I260">
            <v>68.92</v>
          </cell>
          <cell r="O260">
            <v>65.17</v>
          </cell>
          <cell r="P260">
            <v>65.17</v>
          </cell>
          <cell r="Q260">
            <v>65.19</v>
          </cell>
          <cell r="R260">
            <v>65.19</v>
          </cell>
        </row>
        <row r="261">
          <cell r="A261" t="str">
            <v>SI1589_20241218</v>
          </cell>
          <cell r="C261">
            <v>45645</v>
          </cell>
          <cell r="D261" t="str">
            <v>아이오페 슈퍼바이탈 크림 50ML(24EC 외캡</v>
          </cell>
        </row>
        <row r="262">
          <cell r="A262" t="str">
            <v>SI1589_20241219</v>
          </cell>
          <cell r="C262">
            <v>45645</v>
          </cell>
          <cell r="D262" t="str">
            <v>아이오페 슈퍼바이탈 크림 50ML(24EC 외캡</v>
          </cell>
        </row>
        <row r="263">
          <cell r="A263" t="str">
            <v>SI1587_20241218</v>
          </cell>
          <cell r="C263">
            <v>45645</v>
          </cell>
          <cell r="D263" t="str">
            <v>아이오페 슈퍼바이탈 크림 50ML(24EC 용기받침</v>
          </cell>
          <cell r="F263">
            <v>71.709999999999994</v>
          </cell>
          <cell r="G263">
            <v>71.72</v>
          </cell>
          <cell r="H263">
            <v>71.73</v>
          </cell>
          <cell r="I263">
            <v>71.709999999999994</v>
          </cell>
          <cell r="O263">
            <v>63.39</v>
          </cell>
          <cell r="P263">
            <v>63.39</v>
          </cell>
          <cell r="Q263">
            <v>63.39</v>
          </cell>
          <cell r="R263">
            <v>63.37</v>
          </cell>
        </row>
        <row r="264">
          <cell r="A264" t="str">
            <v>SI1587_20241219</v>
          </cell>
          <cell r="C264">
            <v>45645</v>
          </cell>
          <cell r="D264" t="str">
            <v>아이오페 슈퍼바이탈 크림 50ML(24EC 용기받침</v>
          </cell>
        </row>
        <row r="265">
          <cell r="A265" t="str">
            <v>SI1588_20241218</v>
          </cell>
          <cell r="C265">
            <v>45646</v>
          </cell>
          <cell r="D265" t="str">
            <v>아이오페 슈퍼바이탈 크림 50ML(24EC 캡장식</v>
          </cell>
        </row>
        <row r="266">
          <cell r="A266" t="str">
            <v>SI1588_20241219</v>
          </cell>
          <cell r="C266">
            <v>45646</v>
          </cell>
          <cell r="D266" t="str">
            <v>아이오페 슈퍼바이탈 크림 50ML(24EC 캡장식</v>
          </cell>
        </row>
        <row r="267">
          <cell r="A267" t="str">
            <v>SI1557_20241218</v>
          </cell>
          <cell r="B267" t="str">
            <v>유재호</v>
          </cell>
          <cell r="C267">
            <v>45649</v>
          </cell>
          <cell r="D267" t="str">
            <v>라보에이치 모발강화 트리트먼트 200ml 50파이 원터치캡</v>
          </cell>
          <cell r="E267" t="str">
            <v>언더컷</v>
          </cell>
          <cell r="F267">
            <v>35.799999999999997</v>
          </cell>
          <cell r="G267">
            <v>35.75</v>
          </cell>
          <cell r="H267">
            <v>35.76</v>
          </cell>
          <cell r="I267">
            <v>35.78</v>
          </cell>
          <cell r="J267">
            <v>35.79</v>
          </cell>
          <cell r="K267">
            <v>35.79</v>
          </cell>
          <cell r="L267">
            <v>35.79</v>
          </cell>
          <cell r="M267">
            <v>35.799999999999997</v>
          </cell>
          <cell r="N267" t="str">
            <v>나사경</v>
          </cell>
          <cell r="O267">
            <v>23.76</v>
          </cell>
          <cell r="P267">
            <v>23.74</v>
          </cell>
          <cell r="Q267">
            <v>23.69</v>
          </cell>
          <cell r="R267">
            <v>23.69</v>
          </cell>
          <cell r="S267">
            <v>23.75</v>
          </cell>
          <cell r="T267">
            <v>23.74</v>
          </cell>
          <cell r="U267">
            <v>23.72</v>
          </cell>
          <cell r="V267">
            <v>23.75</v>
          </cell>
        </row>
        <row r="268">
          <cell r="A268" t="str">
            <v>SI1541_20241222</v>
          </cell>
          <cell r="B268" t="str">
            <v>한창구</v>
          </cell>
          <cell r="C268">
            <v>45650</v>
          </cell>
          <cell r="D268" t="str">
            <v>아이오페 스템Ⅲ 클리니컬 리커버리 크림 50ML(25) 외캡 사출</v>
          </cell>
          <cell r="E268" t="str">
            <v>내경</v>
          </cell>
          <cell r="F268">
            <v>71.16</v>
          </cell>
          <cell r="G268">
            <v>71.180000000000007</v>
          </cell>
          <cell r="H268">
            <v>71.14</v>
          </cell>
          <cell r="I268">
            <v>71.150000000000006</v>
          </cell>
          <cell r="O268">
            <v>74.89</v>
          </cell>
          <cell r="P268">
            <v>74.88</v>
          </cell>
          <cell r="Q268">
            <v>74.930000000000007</v>
          </cell>
          <cell r="R268">
            <v>74.89</v>
          </cell>
        </row>
        <row r="269">
          <cell r="A269" t="str">
            <v>SI1560_20241218</v>
          </cell>
          <cell r="C269">
            <v>45651</v>
          </cell>
          <cell r="D269" t="str">
            <v>라보에이치 모발강화 트리트먼트 300ml 60파이 장식</v>
          </cell>
          <cell r="E269" t="str">
            <v>외경</v>
          </cell>
          <cell r="F269">
            <v>53.26</v>
          </cell>
          <cell r="G269">
            <v>53.26</v>
          </cell>
          <cell r="H269">
            <v>53.28</v>
          </cell>
          <cell r="I269">
            <v>53.23</v>
          </cell>
          <cell r="J269">
            <v>53.28</v>
          </cell>
          <cell r="K269">
            <v>53.28</v>
          </cell>
          <cell r="L269">
            <v>53.23</v>
          </cell>
          <cell r="M269">
            <v>53.26</v>
          </cell>
          <cell r="O269">
            <v>52.81</v>
          </cell>
          <cell r="P269">
            <v>52.78</v>
          </cell>
          <cell r="Q269">
            <v>52.79</v>
          </cell>
          <cell r="R269">
            <v>52.77</v>
          </cell>
          <cell r="S269">
            <v>52.75</v>
          </cell>
          <cell r="T269">
            <v>52.78</v>
          </cell>
          <cell r="U269">
            <v>52.72</v>
          </cell>
          <cell r="V269">
            <v>52.77</v>
          </cell>
        </row>
        <row r="270">
          <cell r="A270" t="str">
            <v>SI1558_20241218</v>
          </cell>
          <cell r="C270">
            <v>45651</v>
          </cell>
          <cell r="D270" t="str">
            <v>라보에이치 모발강화 트리트먼트 200ml 50파이 장식</v>
          </cell>
          <cell r="F270">
            <v>44.2</v>
          </cell>
          <cell r="G270">
            <v>44.17</v>
          </cell>
          <cell r="H270">
            <v>44.17</v>
          </cell>
          <cell r="I270">
            <v>44.17</v>
          </cell>
          <cell r="J270">
            <v>44.2</v>
          </cell>
          <cell r="K270">
            <v>44.15</v>
          </cell>
          <cell r="L270">
            <v>44.16</v>
          </cell>
          <cell r="M270">
            <v>44.17</v>
          </cell>
          <cell r="O270">
            <v>43.65</v>
          </cell>
          <cell r="P270">
            <v>43.65</v>
          </cell>
          <cell r="Q270">
            <v>43.63</v>
          </cell>
          <cell r="R270">
            <v>43.64</v>
          </cell>
          <cell r="S270">
            <v>43.66</v>
          </cell>
          <cell r="T270">
            <v>43.6</v>
          </cell>
          <cell r="U270">
            <v>43.63</v>
          </cell>
          <cell r="V270">
            <v>43.67</v>
          </cell>
        </row>
        <row r="271">
          <cell r="A271" t="str">
            <v>SI1542_20241225</v>
          </cell>
          <cell r="C271">
            <v>45651</v>
          </cell>
          <cell r="D271" t="str">
            <v>아이오페 스템Ⅲ 클리니컬 리커버리 크림 50ML(25) 내캡 사출</v>
          </cell>
          <cell r="F271">
            <v>71.63</v>
          </cell>
          <cell r="G271">
            <v>71.73</v>
          </cell>
          <cell r="H271">
            <v>71.67</v>
          </cell>
          <cell r="I271">
            <v>71.739999999999995</v>
          </cell>
          <cell r="O271">
            <v>58.68</v>
          </cell>
          <cell r="P271">
            <v>58.7</v>
          </cell>
          <cell r="Q271">
            <v>58.66</v>
          </cell>
          <cell r="R271">
            <v>58.66</v>
          </cell>
        </row>
        <row r="272">
          <cell r="A272" t="str">
            <v>SI1519_20250102</v>
          </cell>
          <cell r="C272">
            <v>45660</v>
          </cell>
          <cell r="D272" t="str">
            <v>아이오페 슈퍼바이탈 크림 50ML(24EC 내용기</v>
          </cell>
        </row>
        <row r="273">
          <cell r="A273" t="str">
            <v>SI1560_20250106</v>
          </cell>
          <cell r="B273" t="str">
            <v>한창구/이성춘</v>
          </cell>
          <cell r="C273">
            <v>45663</v>
          </cell>
          <cell r="D273" t="str">
            <v>라보에이치 모발강화 트리트먼트 300ml 60파이 장식</v>
          </cell>
          <cell r="E273" t="str">
            <v>외경</v>
          </cell>
          <cell r="F273">
            <v>53.22</v>
          </cell>
          <cell r="G273">
            <v>53.23</v>
          </cell>
          <cell r="H273">
            <v>53.26</v>
          </cell>
          <cell r="I273">
            <v>53.24</v>
          </cell>
          <cell r="J273">
            <v>53.23</v>
          </cell>
          <cell r="K273">
            <v>53.23</v>
          </cell>
          <cell r="L273">
            <v>53.27</v>
          </cell>
          <cell r="M273">
            <v>53.25</v>
          </cell>
          <cell r="O273">
            <v>52.69</v>
          </cell>
          <cell r="P273">
            <v>52.75</v>
          </cell>
          <cell r="Q273">
            <v>52.78</v>
          </cell>
          <cell r="R273">
            <v>52.69</v>
          </cell>
          <cell r="S273">
            <v>52.78</v>
          </cell>
          <cell r="T273">
            <v>52.78</v>
          </cell>
          <cell r="U273">
            <v>52.79</v>
          </cell>
          <cell r="V273">
            <v>52.77</v>
          </cell>
        </row>
        <row r="274">
          <cell r="A274" t="str">
            <v>SI1541_20250106</v>
          </cell>
          <cell r="B274" t="str">
            <v>장세래</v>
          </cell>
          <cell r="C274">
            <v>45664</v>
          </cell>
          <cell r="D274" t="str">
            <v>아이오페 스템Ⅲ 클리니컬 리커버리 크림 50ML(25) 외캡 사출</v>
          </cell>
          <cell r="F274">
            <v>72.27</v>
          </cell>
          <cell r="G274">
            <v>72.319999999999993</v>
          </cell>
          <cell r="H274">
            <v>72.31</v>
          </cell>
          <cell r="I274">
            <v>72.31</v>
          </cell>
          <cell r="O274">
            <v>74.900000000000006</v>
          </cell>
          <cell r="P274">
            <v>74.89</v>
          </cell>
          <cell r="Q274">
            <v>74.88</v>
          </cell>
          <cell r="R274">
            <v>74.87</v>
          </cell>
        </row>
        <row r="275">
          <cell r="A275" t="str">
            <v>SI1540_20250106</v>
          </cell>
          <cell r="B275" t="str">
            <v>장세래</v>
          </cell>
          <cell r="C275">
            <v>45664</v>
          </cell>
          <cell r="D275" t="str">
            <v>아이오페 스템Ⅲ 클리니컬 리커버리 크림 50ML(25) 캡장식 사출</v>
          </cell>
          <cell r="F275">
            <v>74.53</v>
          </cell>
          <cell r="G275">
            <v>74.510000000000005</v>
          </cell>
          <cell r="H275">
            <v>74.53</v>
          </cell>
          <cell r="I275">
            <v>74.52</v>
          </cell>
          <cell r="O275">
            <v>46.96</v>
          </cell>
          <cell r="P275">
            <v>46.96</v>
          </cell>
          <cell r="Q275">
            <v>46.95</v>
          </cell>
          <cell r="R275">
            <v>46.96</v>
          </cell>
        </row>
        <row r="276">
          <cell r="A276" t="str">
            <v>SI1543_20250115</v>
          </cell>
          <cell r="B276" t="str">
            <v>한창구</v>
          </cell>
          <cell r="C276">
            <v>45673</v>
          </cell>
          <cell r="D276" t="str">
            <v>아이오페 스템Ⅲ 클리니컬 리커버리 크림 50ML(25) 내용기</v>
          </cell>
        </row>
        <row r="277">
          <cell r="A277" t="str">
            <v>SI1582_20250116</v>
          </cell>
          <cell r="C277">
            <v>45674</v>
          </cell>
          <cell r="D277" t="str">
            <v>미장센 헬로 젤리 팡팡 상용기(글로우쿠션 금형)</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실험의뢰_장진영"/>
      <sheetName val="BOM_개발품목_쿼리"/>
      <sheetName val="개발_품목_실험의뢰_장진영"/>
    </sheetNames>
    <sheetDataSet>
      <sheetData sheetId="0">
        <row r="1">
          <cell r="A1" t="str">
            <v>의뢰코드</v>
          </cell>
          <cell r="B1" t="str">
            <v>요청일</v>
          </cell>
          <cell r="C1" t="str">
            <v>제품명</v>
          </cell>
          <cell r="D1" t="str">
            <v>목적</v>
          </cell>
          <cell r="E1" t="str">
            <v>수량</v>
          </cell>
          <cell r="F1" t="str">
            <v>납기일</v>
          </cell>
          <cell r="G1" t="str">
            <v>품목코드</v>
          </cell>
          <cell r="H1" t="str">
            <v>도번</v>
          </cell>
          <cell r="I1" t="str">
            <v>금형코드</v>
          </cell>
          <cell r="J1" t="str">
            <v>원료명</v>
          </cell>
          <cell r="K1" t="str">
            <v>MB</v>
          </cell>
          <cell r="L1" t="str">
            <v>함량</v>
          </cell>
          <cell r="M1" t="str">
            <v>요구사항</v>
          </cell>
        </row>
        <row r="2">
          <cell r="A2" t="str">
            <v>SI1554_20240924</v>
          </cell>
          <cell r="B2">
            <v>45559</v>
          </cell>
          <cell r="C2" t="str">
            <v>설화수 진설클렌징폼 견본 40ml (25AD 외캡</v>
          </cell>
          <cell r="D2" t="str">
            <v>T1 시사출, 150ml 색상실험 중 2번으로 진행, 2~3번중간 컬러로 다시 MB 맞춰야 함</v>
          </cell>
          <cell r="E2">
            <v>100</v>
          </cell>
          <cell r="F2">
            <v>45565</v>
          </cell>
          <cell r="G2" t="str">
            <v>SI1554</v>
          </cell>
          <cell r="H2" t="str">
            <v>A6797</v>
          </cell>
          <cell r="I2" t="str">
            <v>M241286_01</v>
          </cell>
          <cell r="J2" t="str">
            <v>ABS (롯데첨단소재 SL-0100)</v>
          </cell>
          <cell r="K2" t="str">
            <v>WHITE(타겟참고)
SW230727-0</v>
          </cell>
          <cell r="L2">
            <v>4</v>
          </cell>
        </row>
        <row r="3">
          <cell r="A3" t="str">
            <v>SI1553_20240924</v>
          </cell>
          <cell r="B3">
            <v>45559</v>
          </cell>
          <cell r="C3" t="str">
            <v>설화수 진설클렌징폼 견본 40ml (25AD 내캡</v>
          </cell>
          <cell r="D3" t="str">
            <v>T1 시사출, 150ml 색상실험 중 2번으로 진행, 2~3번중간 컬러로 다시 MB 맞춰야 함</v>
          </cell>
          <cell r="E3">
            <v>100</v>
          </cell>
          <cell r="F3">
            <v>45565</v>
          </cell>
          <cell r="G3" t="str">
            <v>SI1553</v>
          </cell>
          <cell r="H3" t="str">
            <v>A6797</v>
          </cell>
          <cell r="I3" t="str">
            <v>M241285_01</v>
          </cell>
          <cell r="J3" t="str">
            <v>PP (롯데케미칼 J-560S)</v>
          </cell>
          <cell r="K3" t="str">
            <v>WHITE(타겟참고)</v>
          </cell>
          <cell r="M3" t="str">
            <v>띠박 진행해야 함</v>
          </cell>
        </row>
        <row r="4">
          <cell r="A4" t="str">
            <v>SI1544_20240924</v>
          </cell>
          <cell r="B4">
            <v>45559</v>
          </cell>
          <cell r="C4" t="str">
            <v>설화수 진설클렌징폼 견본 15ml (25AD 외캡</v>
          </cell>
          <cell r="D4" t="str">
            <v>T1 시사출, 150ml 색상실험 중 2번으로 진행, 2~3번중간 컬러로 다시 MB 맞춰야 함</v>
          </cell>
          <cell r="E4">
            <v>100</v>
          </cell>
          <cell r="F4">
            <v>45565</v>
          </cell>
          <cell r="G4" t="str">
            <v>SI1544</v>
          </cell>
          <cell r="H4" t="str">
            <v>A6798</v>
          </cell>
          <cell r="I4" t="str">
            <v>M241283_01</v>
          </cell>
          <cell r="J4" t="str">
            <v>PETG PN200</v>
          </cell>
          <cell r="K4" t="str">
            <v>WHITE(타겟참고)
SW230727-0</v>
          </cell>
          <cell r="L4">
            <v>4</v>
          </cell>
        </row>
        <row r="5">
          <cell r="A5" t="str">
            <v>SI1545_20240924</v>
          </cell>
          <cell r="B5">
            <v>45559</v>
          </cell>
          <cell r="C5" t="str">
            <v>설화수 진설클렌징폼 견본 15ml (25AD 내캡</v>
          </cell>
          <cell r="D5" t="str">
            <v>T1 시사출</v>
          </cell>
          <cell r="E5">
            <v>100</v>
          </cell>
          <cell r="F5">
            <v>45565</v>
          </cell>
          <cell r="G5" t="str">
            <v>SI1545</v>
          </cell>
          <cell r="H5" t="str">
            <v>A6798</v>
          </cell>
          <cell r="I5" t="str">
            <v>M241282_01</v>
          </cell>
          <cell r="J5" t="str">
            <v>PP (롯데케미칼 J-560S)</v>
          </cell>
          <cell r="K5" t="str">
            <v>회색펄 사출(MB들어와있음)
DJ240819-6</v>
          </cell>
        </row>
        <row r="6">
          <cell r="A6" t="str">
            <v>SI1539_20241008</v>
          </cell>
          <cell r="B6">
            <v>45573</v>
          </cell>
          <cell r="C6" t="str">
            <v>설화수 진설클렌징폼 150ml (25AD 내캡</v>
          </cell>
          <cell r="D6" t="str">
            <v xml:space="preserve">나사 내경 수정 샘플 규격 Ø17.9mm 수정 후 규격 Ø17.8mm 조정 바랍니다.(Ø0.1mm 줄임), 캡 스토퍼 모서리 R0.2 --&gt; R0.5로 조정.(확인 불가)		</v>
          </cell>
          <cell r="E6">
            <v>100</v>
          </cell>
          <cell r="F6">
            <v>45579</v>
          </cell>
          <cell r="G6" t="str">
            <v>SI1539</v>
          </cell>
          <cell r="H6" t="str">
            <v>A6787</v>
          </cell>
          <cell r="I6" t="str">
            <v>M241245_01</v>
          </cell>
          <cell r="J6" t="str">
            <v>PP (롯데케미칼 J-560S)</v>
          </cell>
          <cell r="K6" t="str">
            <v xml:space="preserve">WHITE(타겟참고) 360-1 </v>
          </cell>
          <cell r="L6">
            <v>4</v>
          </cell>
          <cell r="M6" t="str">
            <v>보유 WHITE MB 사용, 의뢰가 늦어 죄송합니다.</v>
          </cell>
        </row>
        <row r="7">
          <cell r="A7" t="str">
            <v>SI1538_20241008</v>
          </cell>
          <cell r="B7">
            <v>45573</v>
          </cell>
          <cell r="C7" t="str">
            <v>설화수 진설클렌징폼 150ml (25AD 외캡</v>
          </cell>
          <cell r="D7" t="str">
            <v>Gate spray 해결 위한 실험 -&gt; 속도 조절 샘플 확인 후 게이트 수정 요청 예정</v>
          </cell>
          <cell r="E7">
            <v>100</v>
          </cell>
          <cell r="F7">
            <v>45579</v>
          </cell>
          <cell r="G7" t="str">
            <v>SI1538</v>
          </cell>
          <cell r="H7" t="str">
            <v>A6787</v>
          </cell>
          <cell r="I7" t="str">
            <v>M241246_01</v>
          </cell>
          <cell r="J7" t="str">
            <v>PETG (SK케미칼 PN200)</v>
          </cell>
          <cell r="K7" t="str">
            <v>WHITE(타겟참고) SW230727-0</v>
          </cell>
          <cell r="L7">
            <v>4</v>
          </cell>
          <cell r="M7" t="str">
            <v>실험내용과 샘플 제출 후 수정의뢰 예정입니다. 실험조건 잘 기입 부탁드립니다.</v>
          </cell>
        </row>
        <row r="8">
          <cell r="A8" t="str">
            <v>SI1519_20241010</v>
          </cell>
          <cell r="B8">
            <v>45575</v>
          </cell>
          <cell r="C8" t="str">
            <v>아이오페 슈퍼바이탈 크림 50ML(24EC 내용기</v>
          </cell>
          <cell r="D8" t="str">
            <v>완료회의 위해 치수 확인 필요(완료회의 10월 16일로 14일 늦게라도 사출 부탁드립니다)</v>
          </cell>
          <cell r="E8">
            <v>30</v>
          </cell>
          <cell r="F8">
            <v>45581</v>
          </cell>
          <cell r="G8" t="str">
            <v>SI1519</v>
          </cell>
          <cell r="H8" t="str">
            <v>A6749</v>
          </cell>
          <cell r="I8" t="str">
            <v>M241150_01, M241158_02</v>
          </cell>
          <cell r="J8" t="str">
            <v>J560K </v>
          </cell>
          <cell r="K8" t="str">
            <v>SW240613-10</v>
          </cell>
          <cell r="L8">
            <v>4</v>
          </cell>
        </row>
        <row r="9">
          <cell r="A9" t="str">
            <v>SI1541_20241014</v>
          </cell>
          <cell r="B9">
            <v>45579</v>
          </cell>
          <cell r="C9" t="str">
            <v>아이오페 스템Ⅲ 클리니컬 리커버리 크림 50ML(25) 외캡 사출</v>
          </cell>
          <cell r="D9" t="str">
            <v>T1 시사출, 치수 및 금형작동 확인, 투명으로 품질 확인 필요</v>
          </cell>
          <cell r="E9">
            <v>100</v>
          </cell>
          <cell r="F9">
            <v>45582</v>
          </cell>
          <cell r="G9" t="str">
            <v>SI1541</v>
          </cell>
          <cell r="H9" t="str">
            <v>A6801</v>
          </cell>
          <cell r="I9" t="str">
            <v>M241342_01</v>
          </cell>
          <cell r="J9" t="str">
            <v>PETG (SK케미칼 PN200)</v>
          </cell>
          <cell r="K9" t="str">
            <v>투명</v>
          </cell>
        </row>
        <row r="10">
          <cell r="A10" t="str">
            <v>SI1542_20241014</v>
          </cell>
          <cell r="B10">
            <v>45579</v>
          </cell>
          <cell r="C10" t="str">
            <v>아이오페 스템Ⅲ 클리니컬 리커버리 크림 50ML(25) 내캡 사출</v>
          </cell>
          <cell r="D10" t="str">
            <v>T1 시사출, 치수 및 금형작동 확인</v>
          </cell>
          <cell r="E10">
            <v>100</v>
          </cell>
          <cell r="F10">
            <v>45582</v>
          </cell>
          <cell r="G10" t="str">
            <v>SI1542</v>
          </cell>
          <cell r="H10" t="str">
            <v>A6801</v>
          </cell>
          <cell r="I10" t="str">
            <v>M241343_01</v>
          </cell>
          <cell r="J10" t="str">
            <v>PP (롯데케미칼 J-560S)</v>
          </cell>
          <cell r="K10" t="str">
            <v>증착사양</v>
          </cell>
          <cell r="M10" t="str">
            <v>색상? 타겟 못받았습니다. 받으면 공유하겠습니다. 골드추정</v>
          </cell>
        </row>
        <row r="11">
          <cell r="A11" t="str">
            <v>SI1540_20241014</v>
          </cell>
          <cell r="B11">
            <v>45579</v>
          </cell>
          <cell r="C11" t="str">
            <v>아이오페 스템Ⅲ 클리니컬 리커버리 크림 50ML(25) 캡장식 사출</v>
          </cell>
          <cell r="D11" t="str">
            <v>T1 시사출, 치수 및 금형작동 확인</v>
          </cell>
          <cell r="E11">
            <v>100</v>
          </cell>
          <cell r="F11">
            <v>45582</v>
          </cell>
          <cell r="G11" t="str">
            <v>SI1540</v>
          </cell>
          <cell r="H11" t="str">
            <v>A6801</v>
          </cell>
          <cell r="I11" t="str">
            <v>M241344_01</v>
          </cell>
          <cell r="J11" t="str">
            <v>PETG (SK케미칼 PN200)</v>
          </cell>
          <cell r="K11" t="str">
            <v>증착사양</v>
          </cell>
        </row>
        <row r="12">
          <cell r="A12" t="str">
            <v>SI1543_20241014</v>
          </cell>
          <cell r="B12">
            <v>45579</v>
          </cell>
          <cell r="C12" t="str">
            <v>아이오페 스템Ⅲ 클리니컬 리커버리 크림 50ML(25) 내용기</v>
          </cell>
          <cell r="D12" t="str">
            <v>T1 시사출, 치수 및 금형작동 확인, 색상 타겟과 맞춤(필요시 %별로 사출) 합계수량 100EA</v>
          </cell>
          <cell r="E12">
            <v>100</v>
          </cell>
          <cell r="F12">
            <v>45582</v>
          </cell>
          <cell r="G12" t="str">
            <v>SI1543</v>
          </cell>
          <cell r="H12" t="str">
            <v>A6801</v>
          </cell>
          <cell r="I12" t="str">
            <v>M241341_01</v>
          </cell>
          <cell r="J12" t="str">
            <v>PP (롯데케미칼 J-560S)</v>
          </cell>
          <cell r="K12" t="str">
            <v>신원 240911-1</v>
          </cell>
          <cell r="L12">
            <v>4</v>
          </cell>
        </row>
        <row r="13">
          <cell r="A13" t="str">
            <v>SI1544_20241014</v>
          </cell>
          <cell r="B13">
            <v>45579</v>
          </cell>
          <cell r="C13" t="str">
            <v>설화수 진설클렌징폼 견본 15ml (25AD 외캡</v>
          </cell>
          <cell r="D13" t="str">
            <v>치수 확인용으로 소량 사출이고 MB는 내부에 있는 유사MB 사용</v>
          </cell>
          <cell r="E13">
            <v>50</v>
          </cell>
          <cell r="F13">
            <v>45580</v>
          </cell>
          <cell r="G13" t="str">
            <v>SI1544</v>
          </cell>
          <cell r="H13" t="str">
            <v>A6798</v>
          </cell>
          <cell r="I13" t="str">
            <v>M241283_01</v>
          </cell>
          <cell r="J13" t="str">
            <v>PP (롯데케미칼 J-560S)</v>
          </cell>
          <cell r="K13" t="str">
            <v>요청 중</v>
          </cell>
          <cell r="L13">
            <v>4</v>
          </cell>
        </row>
        <row r="14">
          <cell r="A14" t="str">
            <v>SI0992_20241014</v>
          </cell>
          <cell r="B14">
            <v>45579</v>
          </cell>
          <cell r="C14" t="str">
            <v>일리윤 히알루론모이스춰수분크림 100ML (24 외용기 사출</v>
          </cell>
          <cell r="D14" t="str">
            <v>증작금형으로 금형작동 및 치수확인</v>
          </cell>
          <cell r="E14">
            <v>50</v>
          </cell>
          <cell r="F14">
            <v>45583</v>
          </cell>
          <cell r="G14" t="str">
            <v>SI0992</v>
          </cell>
          <cell r="H14" t="str">
            <v>A5790</v>
          </cell>
          <cell r="I14" t="str">
            <v>M170746_01, M241296_02</v>
          </cell>
          <cell r="J14" t="str">
            <v>PP (롯데케미칼 J-560S)</v>
          </cell>
          <cell r="K14" t="str">
            <v>SW210728-8</v>
          </cell>
          <cell r="L14">
            <v>4</v>
          </cell>
        </row>
        <row r="15">
          <cell r="A15" t="str">
            <v>SI0994_20241014</v>
          </cell>
          <cell r="B15">
            <v>45579</v>
          </cell>
          <cell r="C15" t="str">
            <v>일리윤 히알루론모이스춰수분크림 100ML (21 내용기 사출</v>
          </cell>
          <cell r="D15" t="str">
            <v>증작금형으로 금형작동 및 치수확인</v>
          </cell>
          <cell r="E15">
            <v>50</v>
          </cell>
          <cell r="F15">
            <v>45583</v>
          </cell>
          <cell r="G15" t="str">
            <v>SI0994</v>
          </cell>
          <cell r="H15" t="str">
            <v>A5790</v>
          </cell>
          <cell r="I15" t="str">
            <v>M170747_01, M241295_02</v>
          </cell>
          <cell r="J15" t="str">
            <v>PP (롯데케미칼 J-560S)</v>
          </cell>
          <cell r="K15" t="str">
            <v>KS360-1</v>
          </cell>
          <cell r="L15">
            <v>3</v>
          </cell>
        </row>
        <row r="16">
          <cell r="A16" t="str">
            <v>SI0993_20241014</v>
          </cell>
          <cell r="B16">
            <v>45579</v>
          </cell>
          <cell r="C16" t="str">
            <v>일리윤 프로바이오틱스 스킨 배리어 크림 100ML 캡 사출</v>
          </cell>
          <cell r="D16" t="str">
            <v>증작금형으로 금형작동 및 치수확인</v>
          </cell>
          <cell r="E16">
            <v>50</v>
          </cell>
          <cell r="F16">
            <v>45583</v>
          </cell>
          <cell r="G16" t="str">
            <v>SI0993</v>
          </cell>
          <cell r="H16" t="str">
            <v>A5790</v>
          </cell>
          <cell r="I16" t="str">
            <v>M170748_01, M241294_02</v>
          </cell>
          <cell r="J16" t="str">
            <v>PP (다원소재 DW-2360)</v>
          </cell>
          <cell r="K16" t="str">
            <v>DJ119</v>
          </cell>
          <cell r="L16">
            <v>4</v>
          </cell>
        </row>
        <row r="17">
          <cell r="A17" t="str">
            <v>SI1518_20241014</v>
          </cell>
          <cell r="B17">
            <v>45579</v>
          </cell>
          <cell r="C17" t="str">
            <v>아이오페 슈퍼바이탈 크림 50ML(24EC 외용기</v>
          </cell>
          <cell r="D17" t="str">
            <v>메탈코팅 위한 사출, 골드/로즈골드 코팅샘플 만들고 테스트 진행할 샘플까지 수량</v>
          </cell>
          <cell r="E17">
            <v>200</v>
          </cell>
          <cell r="F17">
            <v>45581</v>
          </cell>
          <cell r="G17" t="str">
            <v>SI1518</v>
          </cell>
          <cell r="H17" t="str">
            <v>A6749</v>
          </cell>
          <cell r="I17" t="str">
            <v>M241151_01, M241159_02</v>
          </cell>
          <cell r="J17" t="str">
            <v>PET (SK케미칼 Claro 200)</v>
          </cell>
          <cell r="K17" t="str">
            <v>WHITE(오딧세이쳅터)</v>
          </cell>
          <cell r="M17" t="str">
            <v>금주 중 코팅, 사상해서 차주에 조립해서 디자이너 미팅 예정, 나머지 부품 재고도 확인해야 합니다</v>
          </cell>
        </row>
        <row r="18">
          <cell r="A18" t="str">
            <v>SI1516_20241014</v>
          </cell>
          <cell r="B18">
            <v>45579</v>
          </cell>
          <cell r="C18" t="str">
            <v>아이오페 슈퍼바이탈 크림 50ML(24EC 외캡</v>
          </cell>
          <cell r="D18" t="str">
            <v>메탈코팅 위한 사출, 골드/로즈골드 코팅샘플 만들고 테스트 진행할 샘플까지 수량</v>
          </cell>
          <cell r="E18">
            <v>200</v>
          </cell>
          <cell r="F18">
            <v>45581</v>
          </cell>
          <cell r="G18" t="str">
            <v>SI1516</v>
          </cell>
          <cell r="H18" t="str">
            <v>A6749</v>
          </cell>
          <cell r="I18" t="str">
            <v>M241148_01, M241156_02</v>
          </cell>
          <cell r="J18" t="str">
            <v>PET (SK케미칼 Claro 200)</v>
          </cell>
          <cell r="K18" t="str">
            <v>WHITE(오딧세이쳅터)</v>
          </cell>
        </row>
        <row r="19">
          <cell r="A19" t="str">
            <v>0_20241016</v>
          </cell>
          <cell r="B19">
            <v>45581</v>
          </cell>
          <cell r="C19" t="str">
            <v>PET 사출핀</v>
          </cell>
          <cell r="D19" t="str">
            <v>T2</v>
          </cell>
          <cell r="E19">
            <v>200</v>
          </cell>
          <cell r="F19">
            <v>45593</v>
          </cell>
          <cell r="G19">
            <v>0</v>
          </cell>
          <cell r="H19" t="str">
            <v>A6795</v>
          </cell>
          <cell r="I19" t="str">
            <v>S241013_01</v>
          </cell>
          <cell r="J19" t="str">
            <v>PBT</v>
          </cell>
          <cell r="K19" t="str">
            <v>내츄럴</v>
          </cell>
          <cell r="M19" t="str">
            <v xml:space="preserve">일정 조정 필요하면 얘기해주시면 조정하겠습니다. </v>
          </cell>
        </row>
        <row r="20">
          <cell r="A20" t="str">
            <v>SI1539_20241017</v>
          </cell>
          <cell r="B20">
            <v>45582</v>
          </cell>
          <cell r="C20" t="str">
            <v>설화수 진설클렌징폼 150ml (25AD 내캡</v>
          </cell>
          <cell r="D20" t="str">
            <v>포장재 테스트 및 라인테스트용 샘플 200개 (코팅로스 반영)</v>
          </cell>
          <cell r="E20">
            <v>400</v>
          </cell>
          <cell r="F20">
            <v>45587</v>
          </cell>
          <cell r="G20" t="str">
            <v>SI1539</v>
          </cell>
          <cell r="H20" t="str">
            <v>A6787</v>
          </cell>
          <cell r="I20" t="str">
            <v>M241245_01</v>
          </cell>
          <cell r="J20" t="str">
            <v>PP (롯데케미칼 J-560S)</v>
          </cell>
          <cell r="K20" t="str">
            <v>타겟참고 %확정바람</v>
          </cell>
          <cell r="M20" t="str">
            <v>일정확인해서 답변보내야 합니다. 가능한 빠른 일정 확인 부탁드립니다.</v>
          </cell>
        </row>
        <row r="21">
          <cell r="A21" t="str">
            <v>SI1538_20241017</v>
          </cell>
          <cell r="B21">
            <v>45582</v>
          </cell>
          <cell r="C21" t="str">
            <v>설화수 진설클렌징폼 150ml (25AD 외캡</v>
          </cell>
          <cell r="D21" t="str">
            <v xml:space="preserve">포장재 테스트 및 라인테스트용 샘플 200개 </v>
          </cell>
          <cell r="E21">
            <v>300</v>
          </cell>
          <cell r="F21">
            <v>45587</v>
          </cell>
          <cell r="G21" t="str">
            <v>SI1538</v>
          </cell>
          <cell r="H21" t="str">
            <v>A6787</v>
          </cell>
          <cell r="I21" t="str">
            <v>M241246_01</v>
          </cell>
          <cell r="J21" t="str">
            <v>PETG (SK케미칼 PN200)</v>
          </cell>
        </row>
        <row r="22">
          <cell r="A22" t="str">
            <v>SI1537_20241017</v>
          </cell>
          <cell r="B22">
            <v>45582</v>
          </cell>
          <cell r="C22" t="str">
            <v>설화수 진설클렌징폼 150ml (25AD 캡장식</v>
          </cell>
          <cell r="D22" t="str">
            <v>포장재 테스트 및 라인테스트용 샘플 200개 (증착로스 반영)</v>
          </cell>
          <cell r="E22">
            <v>400</v>
          </cell>
          <cell r="F22">
            <v>45587</v>
          </cell>
          <cell r="G22" t="str">
            <v>SI1537</v>
          </cell>
          <cell r="H22" t="str">
            <v>A6787</v>
          </cell>
          <cell r="I22" t="str">
            <v>M241247_01</v>
          </cell>
          <cell r="J22" t="str">
            <v>ABS (롯데첨단소재 MP-0670)</v>
          </cell>
          <cell r="K22" t="str">
            <v>NATURAL</v>
          </cell>
        </row>
        <row r="23">
          <cell r="A23" t="str">
            <v>SI1554_20241017</v>
          </cell>
          <cell r="B23">
            <v>45582</v>
          </cell>
          <cell r="C23" t="str">
            <v>설화수 진설클렌징폼 견본 40ml (25AD 외캡</v>
          </cell>
          <cell r="D23" t="str">
            <v xml:space="preserve">포장재 테스트 및 라인테스트용 샘플 200개 </v>
          </cell>
          <cell r="E23">
            <v>300</v>
          </cell>
          <cell r="F23">
            <v>45588</v>
          </cell>
          <cell r="G23" t="str">
            <v>SI1554</v>
          </cell>
          <cell r="H23" t="str">
            <v>A6797</v>
          </cell>
          <cell r="I23" t="str">
            <v>M241286_01</v>
          </cell>
          <cell r="J23" t="str">
            <v>ABS (롯데첨단소재 SL-0100)</v>
          </cell>
          <cell r="K23" t="str">
            <v>신규MB입고</v>
          </cell>
        </row>
        <row r="24">
          <cell r="A24" t="str">
            <v>SI1553_20241017</v>
          </cell>
          <cell r="B24">
            <v>45582</v>
          </cell>
          <cell r="C24" t="str">
            <v>설화수 진설클렌징폼 견본 40ml (25AD 내캡</v>
          </cell>
          <cell r="D24" t="str">
            <v xml:space="preserve">포장재 테스트 및 라인테스트용 샘플 200개 </v>
          </cell>
          <cell r="E24">
            <v>300</v>
          </cell>
          <cell r="F24">
            <v>45588</v>
          </cell>
          <cell r="G24" t="str">
            <v>SI1553</v>
          </cell>
          <cell r="H24" t="str">
            <v>A6797</v>
          </cell>
          <cell r="I24" t="str">
            <v>M241285_01</v>
          </cell>
          <cell r="J24" t="str">
            <v>PP (롯데케미칼 J-560S)</v>
          </cell>
          <cell r="K24" t="str">
            <v>KS360-1</v>
          </cell>
          <cell r="L24">
            <v>3</v>
          </cell>
        </row>
        <row r="25">
          <cell r="A25" t="str">
            <v>SI1544_20241017</v>
          </cell>
          <cell r="B25">
            <v>45582</v>
          </cell>
          <cell r="C25" t="str">
            <v>설화수 진설클렌징폼 견본 15ml (25AD 외캡</v>
          </cell>
          <cell r="D25" t="str">
            <v xml:space="preserve">포장재 테스트 및 라인테스트용 샘플 200개 </v>
          </cell>
          <cell r="E25">
            <v>300</v>
          </cell>
          <cell r="F25">
            <v>45589</v>
          </cell>
          <cell r="G25" t="str">
            <v>SI1544</v>
          </cell>
          <cell r="H25" t="str">
            <v>A6798</v>
          </cell>
          <cell r="I25" t="str">
            <v>M241283_01</v>
          </cell>
          <cell r="J25" t="str">
            <v>PP (롯데케미칼 J-560S)</v>
          </cell>
          <cell r="K25" t="str">
            <v>신규MB입고</v>
          </cell>
        </row>
        <row r="26">
          <cell r="A26" t="str">
            <v>SI1545_20241017</v>
          </cell>
          <cell r="B26">
            <v>45582</v>
          </cell>
          <cell r="C26" t="str">
            <v>설화수 진설클렌징폼 견본 15ml (25AD 내캡</v>
          </cell>
          <cell r="D26" t="str">
            <v xml:space="preserve">포장재 테스트 및 라인테스트용 샘플 200개 </v>
          </cell>
          <cell r="E26">
            <v>300</v>
          </cell>
          <cell r="F26">
            <v>45589</v>
          </cell>
          <cell r="G26" t="str">
            <v>SI1545</v>
          </cell>
          <cell r="H26" t="str">
            <v>A6798</v>
          </cell>
          <cell r="I26" t="str">
            <v>M241282_01</v>
          </cell>
          <cell r="J26" t="str">
            <v>PP (롯데케미칼 J-560S)</v>
          </cell>
          <cell r="K26" t="str">
            <v>신규MB입고</v>
          </cell>
        </row>
        <row r="27">
          <cell r="A27" t="str">
            <v>SI1555_20241018</v>
          </cell>
          <cell r="B27">
            <v>45583</v>
          </cell>
          <cell r="C27" t="str">
            <v>설화수 탄력크림 견5ML (21NEW 용기/7758</v>
          </cell>
          <cell r="D27" t="str">
            <v>표견 및 라인테스트용(글로벌용 인쇄 변경 표견에 필요)</v>
          </cell>
          <cell r="E27">
            <v>100</v>
          </cell>
          <cell r="F27">
            <v>45587</v>
          </cell>
          <cell r="G27" t="str">
            <v>SI1555</v>
          </cell>
          <cell r="H27" t="str">
            <v>A6232</v>
          </cell>
          <cell r="I27" t="str">
            <v>M201153_01</v>
          </cell>
          <cell r="J27">
            <v>0</v>
          </cell>
          <cell r="K27" t="str">
            <v>동진 240717-3</v>
          </cell>
          <cell r="L27">
            <v>3</v>
          </cell>
          <cell r="M27" t="str">
            <v>주황색 용기에 인쇄가 2가지인데 1가지만 표견획득입니다. 프리웍스 생산때 사출물 공유 주셔도 진행가능입니다. 대신 일정 확인해주세요. 감사합니다.</v>
          </cell>
        </row>
        <row r="28">
          <cell r="A28" t="str">
            <v>T0003_20241019</v>
          </cell>
          <cell r="B28">
            <v>45584</v>
          </cell>
          <cell r="C28" t="str">
            <v>오딧세이 로맨틱 스킨 리파이너 130ML (23AD)(착인) 외캡</v>
          </cell>
          <cell r="D28" t="str">
            <v>목분 샘플 제작용, 기존 사출물과 색상이 동일하게 MB % 조절</v>
          </cell>
          <cell r="E28">
            <v>200</v>
          </cell>
          <cell r="F28"/>
          <cell r="G28" t="str">
            <v>T0003</v>
          </cell>
          <cell r="H28" t="str">
            <v>A6660</v>
          </cell>
          <cell r="I28" t="str">
            <v>M231236_01</v>
          </cell>
          <cell r="J28" t="str">
            <v>목분 3종</v>
          </cell>
          <cell r="K28" t="str">
            <v>5M964 : KS1054 - KG</v>
          </cell>
          <cell r="M28" t="str">
            <v>무림에는 18일 사출이라고 공유해놓았습니다. 위에 의뢰목록을 카피해놓은 겁니다. 일정 확인 부탁드립니다.</v>
          </cell>
        </row>
        <row r="29">
          <cell r="A29" t="str">
            <v>SI1447_20241019</v>
          </cell>
          <cell r="B29">
            <v>45584</v>
          </cell>
          <cell r="C29" t="str">
            <v>오딧세이 로맨틱 스킨 리파이너 130ML (23AD)(착인) 내캡</v>
          </cell>
          <cell r="D29" t="str">
            <v>목분 샘플 제작용 상대물</v>
          </cell>
          <cell r="E29">
            <v>200</v>
          </cell>
          <cell r="G29" t="str">
            <v>SI1447</v>
          </cell>
          <cell r="H29" t="str">
            <v>A6660</v>
          </cell>
          <cell r="I29" t="str">
            <v>M231237_01</v>
          </cell>
          <cell r="J29" t="str">
            <v>PCR PP (LG화학 PM5010W 50%)</v>
          </cell>
          <cell r="M29" t="str">
            <v>가능 일정 알려주시면 무림에 설명해보도록 하겠습니다.</v>
          </cell>
        </row>
        <row r="30">
          <cell r="A30" t="str">
            <v>SI1089_20241022</v>
          </cell>
          <cell r="B30">
            <v>45587</v>
          </cell>
          <cell r="C30" t="str">
            <v>한율 백화고기미단크림10ml(견 캡</v>
          </cell>
          <cell r="D30" t="str">
            <v>인쇄변경 표견 획득 샘플 및 색상변경 신제품 기능테스트용</v>
          </cell>
          <cell r="E30">
            <v>100</v>
          </cell>
          <cell r="F30">
            <v>45595</v>
          </cell>
          <cell r="G30" t="str">
            <v>SI1089</v>
          </cell>
          <cell r="H30" t="str">
            <v>A3632</v>
          </cell>
          <cell r="I30" t="str">
            <v>M130374_01</v>
          </cell>
          <cell r="J30" t="str">
            <v>J560S KS18-1228-7 5%</v>
          </cell>
          <cell r="K30" t="str">
            <v>KS18-1228-7</v>
          </cell>
          <cell r="L30">
            <v>5</v>
          </cell>
        </row>
        <row r="31">
          <cell r="A31" t="str">
            <v>SI1088_20241022</v>
          </cell>
          <cell r="B31">
            <v>45587</v>
          </cell>
          <cell r="C31" t="str">
            <v>한율 백화고 기미탄력 크림 견 10ml (24(Jar 용기</v>
          </cell>
          <cell r="D31" t="str">
            <v>인쇄변경 표견 획득 샘플 및 색상변경 신제품 기능테스트용</v>
          </cell>
          <cell r="E31">
            <v>100</v>
          </cell>
          <cell r="F31">
            <v>45595</v>
          </cell>
          <cell r="G31" t="str">
            <v>SI1088</v>
          </cell>
          <cell r="H31" t="str">
            <v>A3632</v>
          </cell>
          <cell r="I31" t="str">
            <v>M130373_01</v>
          </cell>
          <cell r="J31" t="str">
            <v>J560S KS18-1219 5%</v>
          </cell>
          <cell r="K31" t="str">
            <v>KS18-1219</v>
          </cell>
          <cell r="L31">
            <v>5</v>
          </cell>
        </row>
        <row r="32">
          <cell r="A32" t="str">
            <v>SI1557_20241026</v>
          </cell>
          <cell r="B32">
            <v>45591</v>
          </cell>
          <cell r="C32" t="str">
            <v>라보에이치 모발강화 트리트먼트 200ml 50파이 원터치캡</v>
          </cell>
          <cell r="D32" t="str">
            <v>T1 시사출, 아이팩 제품</v>
          </cell>
          <cell r="E32">
            <v>80</v>
          </cell>
          <cell r="F32">
            <v>45595</v>
          </cell>
          <cell r="G32" t="str">
            <v>SI1557</v>
          </cell>
          <cell r="H32" t="str">
            <v>A6794</v>
          </cell>
          <cell r="I32" t="str">
            <v>M241332-01</v>
          </cell>
          <cell r="J32" t="str">
            <v>PP (롯데케미칼 J-560S)</v>
          </cell>
        </row>
        <row r="33">
          <cell r="A33" t="str">
            <v>SI1558_20241026</v>
          </cell>
          <cell r="B33">
            <v>45591</v>
          </cell>
          <cell r="C33" t="str">
            <v>라보에이치 모발강화 트리트먼트 200ml 50파이 장식</v>
          </cell>
          <cell r="D33" t="str">
            <v>T1 시사출</v>
          </cell>
          <cell r="E33">
            <v>80</v>
          </cell>
          <cell r="F33">
            <v>45595</v>
          </cell>
          <cell r="G33" t="str">
            <v>SI1558</v>
          </cell>
          <cell r="H33" t="str">
            <v>A6794</v>
          </cell>
          <cell r="I33" t="str">
            <v>M241331-01</v>
          </cell>
          <cell r="J33" t="str">
            <v>PP (롯데케미칼 J-560S)</v>
          </cell>
          <cell r="K33" t="str">
            <v>MB 요청 중</v>
          </cell>
        </row>
        <row r="34">
          <cell r="A34" t="str">
            <v>SI1559_20241026</v>
          </cell>
          <cell r="B34">
            <v>45591</v>
          </cell>
          <cell r="C34" t="str">
            <v>라보에이치 모발강화 트리트먼트 300ml 60파이 원터치캡</v>
          </cell>
          <cell r="D34" t="str">
            <v>T1 시사출</v>
          </cell>
          <cell r="E34">
            <v>80</v>
          </cell>
          <cell r="F34">
            <v>45595</v>
          </cell>
          <cell r="G34" t="str">
            <v>SI1559</v>
          </cell>
          <cell r="H34" t="str">
            <v>A6802</v>
          </cell>
          <cell r="I34" t="str">
            <v>M241336-01</v>
          </cell>
          <cell r="J34">
            <v>0</v>
          </cell>
        </row>
        <row r="35">
          <cell r="A35" t="str">
            <v>SI1560_20241026</v>
          </cell>
          <cell r="B35">
            <v>45591</v>
          </cell>
          <cell r="C35" t="str">
            <v>라보에이치 모발강화 트리트먼트 300ml 60파이 장식</v>
          </cell>
          <cell r="D35" t="str">
            <v>T1 시사출</v>
          </cell>
          <cell r="E35">
            <v>80</v>
          </cell>
          <cell r="F35">
            <v>45595</v>
          </cell>
          <cell r="G35" t="str">
            <v>SI1560</v>
          </cell>
          <cell r="H35" t="str">
            <v>A6802</v>
          </cell>
          <cell r="I35" t="str">
            <v>M241335-01</v>
          </cell>
          <cell r="J35">
            <v>0</v>
          </cell>
        </row>
        <row r="36">
          <cell r="A36" t="str">
            <v>SI1519_20241028</v>
          </cell>
          <cell r="B36">
            <v>45593</v>
          </cell>
          <cell r="C36" t="str">
            <v>아이오페 슈퍼바이탈 크림 50ML(24EC 내용기</v>
          </cell>
          <cell r="D36" t="str">
            <v>1차 내용기 사출 요청, 완료회의 제출 시료, 수정사항 확인 용</v>
          </cell>
          <cell r="E36">
            <v>40</v>
          </cell>
          <cell r="F36">
            <v>45594</v>
          </cell>
          <cell r="G36" t="str">
            <v>SI1519</v>
          </cell>
          <cell r="H36" t="str">
            <v>A6749</v>
          </cell>
          <cell r="I36" t="str">
            <v>M241150_01, M241158_02</v>
          </cell>
          <cell r="J36" t="str">
            <v>J560K </v>
          </cell>
          <cell r="K36" t="str">
            <v>SW240613-10</v>
          </cell>
          <cell r="L36">
            <v>4</v>
          </cell>
        </row>
        <row r="37">
          <cell r="A37" t="str">
            <v>SI1516_20241028</v>
          </cell>
          <cell r="B37">
            <v>45593</v>
          </cell>
          <cell r="C37" t="str">
            <v>아이오페 슈퍼바이탈 크림 50ML(24EC 외캡</v>
          </cell>
          <cell r="D37" t="str">
            <v>2차 사출 요청, 완료회의 제출 용</v>
          </cell>
          <cell r="E37">
            <v>40</v>
          </cell>
          <cell r="F37">
            <v>45594</v>
          </cell>
          <cell r="G37" t="str">
            <v>SI1516</v>
          </cell>
          <cell r="H37" t="str">
            <v>A6749</v>
          </cell>
          <cell r="I37" t="str">
            <v>M241148_01, M241156_02</v>
          </cell>
          <cell r="J37" t="str">
            <v>PN200</v>
          </cell>
        </row>
        <row r="38">
          <cell r="A38" t="str">
            <v>SI1522_20241028</v>
          </cell>
          <cell r="B38">
            <v>45593</v>
          </cell>
          <cell r="C38" t="str">
            <v>아이오페 슈퍼바이탈 크림 50ML(24EC 내캡</v>
          </cell>
          <cell r="D38" t="str">
            <v>2차 사출 요청, 완료회의 제출 용</v>
          </cell>
          <cell r="E38">
            <v>40</v>
          </cell>
          <cell r="F38">
            <v>45594</v>
          </cell>
          <cell r="G38" t="str">
            <v>SI1522</v>
          </cell>
          <cell r="H38" t="str">
            <v>A6749</v>
          </cell>
          <cell r="I38" t="str">
            <v>M241147_01, M241155_02</v>
          </cell>
          <cell r="J38" t="str">
            <v>PP (다원소재 DW-2360)</v>
          </cell>
          <cell r="K38" t="str">
            <v>SW240521-1 (BEIGE)</v>
          </cell>
          <cell r="L38">
            <v>3</v>
          </cell>
        </row>
        <row r="39">
          <cell r="A39" t="str">
            <v>SI1518_20241028</v>
          </cell>
          <cell r="B39">
            <v>45593</v>
          </cell>
          <cell r="C39" t="str">
            <v>아이오페 슈퍼바이탈 크림 50ML(24EC 외용기</v>
          </cell>
          <cell r="D39" t="str">
            <v>2차 사출 요청, 완료회의 제출 용</v>
          </cell>
          <cell r="E39">
            <v>40</v>
          </cell>
          <cell r="F39">
            <v>45594</v>
          </cell>
          <cell r="G39" t="str">
            <v>SI1518</v>
          </cell>
          <cell r="H39" t="str">
            <v>A6749</v>
          </cell>
          <cell r="I39" t="str">
            <v>M241151_01, M241159_02</v>
          </cell>
          <cell r="J39" t="str">
            <v>PN200</v>
          </cell>
        </row>
        <row r="40">
          <cell r="A40" t="str">
            <v>SI1520_20241028</v>
          </cell>
          <cell r="B40">
            <v>45593</v>
          </cell>
          <cell r="C40" t="str">
            <v>아이오페 슈퍼바이탈 크림 50ML(24EC 용기받침</v>
          </cell>
          <cell r="D40" t="str">
            <v>2차 사출 요청, 완료회의 제출 용</v>
          </cell>
          <cell r="E40">
            <v>40</v>
          </cell>
          <cell r="F40">
            <v>45594</v>
          </cell>
          <cell r="G40" t="str">
            <v>SI1520</v>
          </cell>
          <cell r="H40" t="str">
            <v>A6749</v>
          </cell>
          <cell r="I40" t="str">
            <v>M241152_01, M241160_02</v>
          </cell>
          <cell r="J40" t="str">
            <v>PN200</v>
          </cell>
        </row>
        <row r="41">
          <cell r="A41" t="str">
            <v>SI1542_20241029</v>
          </cell>
          <cell r="B41">
            <v>45594</v>
          </cell>
          <cell r="C41" t="str">
            <v>아이오페 스템Ⅲ 클리니컬 리커버리 크림 50ML(25) 내캡 사출</v>
          </cell>
          <cell r="D41" t="str">
            <v>T2 시사출, 수정사항 확인</v>
          </cell>
          <cell r="E41">
            <v>50</v>
          </cell>
          <cell r="F41">
            <v>45596</v>
          </cell>
          <cell r="G41" t="str">
            <v>SI1542</v>
          </cell>
          <cell r="H41" t="str">
            <v>A6801</v>
          </cell>
          <cell r="I41" t="str">
            <v>M241343_01</v>
          </cell>
          <cell r="J41" t="str">
            <v>PP (롯데케미칼 J-560S)</v>
          </cell>
          <cell r="K41" t="str">
            <v>증착사양</v>
          </cell>
          <cell r="M41" t="str">
            <v>31일(목) 사출해서 태가로 이동해서 11월 1일(금) 증착해서 11월 4일 t2미팅해야 합니다.</v>
          </cell>
        </row>
        <row r="42">
          <cell r="A42" t="str">
            <v>SI1540_20241029</v>
          </cell>
          <cell r="B42">
            <v>45594</v>
          </cell>
          <cell r="C42" t="str">
            <v>아이오페 스템Ⅲ 클리니컬 리커버리 크림 50ML(25) 캡장식 사출</v>
          </cell>
          <cell r="D42" t="str">
            <v>T2 시사출, 수정사항 확인</v>
          </cell>
          <cell r="E42">
            <v>50</v>
          </cell>
          <cell r="F42">
            <v>45596</v>
          </cell>
          <cell r="G42" t="str">
            <v>SI1540</v>
          </cell>
          <cell r="H42" t="str">
            <v>A6801</v>
          </cell>
          <cell r="I42" t="str">
            <v>M241344_01</v>
          </cell>
          <cell r="J42" t="str">
            <v>PETG (SK케미칼 PN200)</v>
          </cell>
          <cell r="K42" t="str">
            <v>증착사양</v>
          </cell>
          <cell r="M42" t="str">
            <v>31일(목) 사출해서 태가로 이동해서 11월 1일(금) 증착해서 11월 4일 t2미팅해야 합니다.</v>
          </cell>
        </row>
        <row r="43">
          <cell r="A43" t="str">
            <v>SI1541_20241029</v>
          </cell>
          <cell r="B43">
            <v>45594</v>
          </cell>
          <cell r="C43" t="str">
            <v>아이오페 스템Ⅲ 클리니컬 리커버리 크림 50ML(25) 외캡 사출</v>
          </cell>
          <cell r="D43" t="str">
            <v>T2 시사출, 수정사항 확인</v>
          </cell>
          <cell r="E43">
            <v>50</v>
          </cell>
          <cell r="F43">
            <v>45597</v>
          </cell>
          <cell r="G43" t="str">
            <v>SI1541</v>
          </cell>
          <cell r="H43" t="str">
            <v>A6801</v>
          </cell>
          <cell r="I43" t="str">
            <v>M241342_01</v>
          </cell>
          <cell r="J43" t="str">
            <v>PETG (SK케미칼 PN200)</v>
          </cell>
          <cell r="K43" t="str">
            <v>투명</v>
          </cell>
        </row>
        <row r="44">
          <cell r="A44" t="str">
            <v>SI1554_20241031</v>
          </cell>
          <cell r="B44">
            <v>45596</v>
          </cell>
          <cell r="C44" t="str">
            <v>설화수 진설클렌징폼 견본 40ml (25AD 외캡</v>
          </cell>
          <cell r="D44" t="str">
            <v>표면 스크레치 확인</v>
          </cell>
          <cell r="E44">
            <v>100</v>
          </cell>
          <cell r="F44">
            <v>45601</v>
          </cell>
          <cell r="G44" t="str">
            <v>SI1554</v>
          </cell>
          <cell r="H44" t="str">
            <v>A6797</v>
          </cell>
          <cell r="I44" t="str">
            <v>M241286_01</v>
          </cell>
          <cell r="J44" t="str">
            <v>ABS (롯데첨단소재 SL-0100)</v>
          </cell>
          <cell r="K44" t="str">
            <v>150ml 컬러코팅 샘플에 맞춰 다시 MB 맞춰야 함</v>
          </cell>
        </row>
        <row r="45">
          <cell r="A45" t="str">
            <v>SI1553_20241101</v>
          </cell>
          <cell r="B45">
            <v>45597</v>
          </cell>
          <cell r="C45" t="str">
            <v>설화수 진설클렌징폼 견본 40ml (25AD 내캡</v>
          </cell>
          <cell r="D45" t="str">
            <v>나사선 15도 돌린것 확인, 폴라이트 2.0T(우일에서 다시 사이즈 맞춘 것으로)</v>
          </cell>
          <cell r="E45">
            <v>100</v>
          </cell>
          <cell r="F45">
            <v>45601</v>
          </cell>
          <cell r="G45" t="str">
            <v>SI1553</v>
          </cell>
          <cell r="H45" t="str">
            <v>A6797</v>
          </cell>
          <cell r="I45" t="str">
            <v>M241285_01</v>
          </cell>
          <cell r="J45" t="str">
            <v>PP (롯데케미칼 J-560S)</v>
          </cell>
          <cell r="K45" t="str">
            <v>KS360-1</v>
          </cell>
          <cell r="L45">
            <v>3</v>
          </cell>
          <cell r="M45" t="str">
            <v>조립해서 기능테스트 제출해야 함, 7일 시사출 미팅 진행 예정</v>
          </cell>
        </row>
        <row r="46">
          <cell r="A46" t="str">
            <v>SI1541_20241106</v>
          </cell>
          <cell r="B46">
            <v>45602</v>
          </cell>
          <cell r="C46" t="str">
            <v>아이오페 스템Ⅲ 클리니컬 리커버리 크림 50ML(25) 외캡 사출</v>
          </cell>
          <cell r="D46" t="str">
            <v>T2 시사출, 수정사항 확인</v>
          </cell>
          <cell r="E46">
            <v>100</v>
          </cell>
          <cell r="F46">
            <v>45603</v>
          </cell>
          <cell r="G46" t="str">
            <v>SI1541</v>
          </cell>
          <cell r="H46" t="str">
            <v>A6801</v>
          </cell>
          <cell r="I46" t="str">
            <v>M241342_01</v>
          </cell>
          <cell r="J46" t="str">
            <v>PETG (SK케미칼 PN200)</v>
          </cell>
          <cell r="K46" t="str">
            <v>투명</v>
          </cell>
          <cell r="M46" t="str">
            <v>긴급! 외경 무조건 도면 치수에 맞춰 사출 요청(수축이나 미성형 발생 시 샘플 함께 챙겨주세요) 외캡 치수가 틀어지면 캡 전체 구조에 문제가 생깁니다. 외경이 도면 치수에 맞도록 최대한 맞춰서 사출해주시고, 양산 가능 치수 샘플과 문제가 발생되면 발생되는 샘플도 같이 챙겨주세요. - 샘플을 보고 나머지 부품도 수정진행 예정입니다.</v>
          </cell>
        </row>
        <row r="47">
          <cell r="A47" t="str">
            <v>SI1394_20241106</v>
          </cell>
          <cell r="B47">
            <v>45602</v>
          </cell>
          <cell r="C47" t="str">
            <v>7518961 라네즈 퍼펙트리뉴 쓰리엑스 스킨 리파이너23AD(견 50ML 캡</v>
          </cell>
          <cell r="D47" t="str">
            <v>신제품 적용, 기존 제출 샘플에서 증착박리 발생으로 다시 테스트 샘플 준비</v>
          </cell>
          <cell r="E47">
            <v>500</v>
          </cell>
          <cell r="F47">
            <v>45604</v>
          </cell>
          <cell r="G47" t="str">
            <v>SI1394</v>
          </cell>
          <cell r="K47" t="str">
            <v>투명</v>
          </cell>
          <cell r="M47" t="str">
            <v>목요일에 후가공테스트넣는다고 목요일까지 제출 요청있습니다. 나라 코팅일정 필요하니11월 12일에는 나라에 보내야 합니다.</v>
          </cell>
        </row>
        <row r="48">
          <cell r="A48" t="str">
            <v>SI1539_20241108</v>
          </cell>
          <cell r="B48">
            <v>45604</v>
          </cell>
          <cell r="C48" t="str">
            <v>설화수 진설클렌징폼 150ml (25AD 내캡</v>
          </cell>
          <cell r="D48" t="str">
            <v>색상실험, 기능/후가공 테스트 제출, 향후 표견</v>
          </cell>
          <cell r="E48" t="str">
            <v>각 80</v>
          </cell>
          <cell r="F48">
            <v>45608</v>
          </cell>
          <cell r="G48" t="str">
            <v>SI1539</v>
          </cell>
          <cell r="H48" t="str">
            <v>A6787</v>
          </cell>
          <cell r="I48" t="str">
            <v>M241245_01</v>
          </cell>
          <cell r="J48" t="str">
            <v>PP (롯데케미칼 J-560S)</v>
          </cell>
          <cell r="K48" t="str">
            <v xml:space="preserve">새로운 mb입고된 것으로 색상실험해서 제출해야 합니다. </v>
          </cell>
          <cell r="M48" t="str">
            <v xml:space="preserve">색상테스트 진행 시 컨펌된 색상으로 후가공테스트 바로 제출할 수 있도록 각각 수량을 80개씩 사출해 주시면 좋겠습니다. </v>
          </cell>
        </row>
        <row r="49">
          <cell r="A49" t="str">
            <v>SI1519_20241108</v>
          </cell>
          <cell r="B49">
            <v>45604</v>
          </cell>
          <cell r="C49" t="str">
            <v>아이오페 슈퍼바이탈 크림 50ML(24EC 내용기</v>
          </cell>
          <cell r="D49" t="str">
            <v>2차 내용기 사출 요청, 완료회의 제출 시료, 1차 수정한 내용기와 치수가 같아야 합니다. 사출 시 확인해주세요</v>
          </cell>
          <cell r="E49">
            <v>40</v>
          </cell>
          <cell r="F49">
            <v>45607</v>
          </cell>
          <cell r="G49" t="str">
            <v>SI1519</v>
          </cell>
          <cell r="H49" t="str">
            <v>A6749</v>
          </cell>
          <cell r="I49" t="str">
            <v>M241150_01, M241158_02</v>
          </cell>
          <cell r="J49" t="str">
            <v>J560K </v>
          </cell>
          <cell r="K49" t="str">
            <v>SW240613-10</v>
          </cell>
          <cell r="L49">
            <v>4</v>
          </cell>
          <cell r="M49" t="str">
            <v>12일까지 감리처 제출해야 합니다. 1차 용기와 치수가 같아야 하고 스토퍼 감도 동일하게 나오는지 확인하고 제출하라고 합니다.</v>
          </cell>
        </row>
        <row r="50">
          <cell r="A50" t="str">
            <v>SI1537_20241109</v>
          </cell>
          <cell r="B50">
            <v>45605</v>
          </cell>
          <cell r="C50" t="str">
            <v>설화수 진설클렌징폼 150ml (25AD 캡장식</v>
          </cell>
          <cell r="D50" t="str">
            <v>증착 색상테스트 및 후가공테스트 제출, 향후 표견에 활용</v>
          </cell>
          <cell r="E50">
            <v>200</v>
          </cell>
          <cell r="F50">
            <v>45609</v>
          </cell>
          <cell r="G50" t="str">
            <v>SI1537</v>
          </cell>
          <cell r="H50" t="str">
            <v>A6787</v>
          </cell>
          <cell r="I50" t="str">
            <v>M241247_01</v>
          </cell>
          <cell r="J50" t="str">
            <v>ABS (롯데첨단소재 MP-0670)</v>
          </cell>
          <cell r="K50" t="str">
            <v>NATURAL</v>
          </cell>
          <cell r="M50" t="str">
            <v>기존 증착샘플에 무광이 더 올라야 한다고 합니다.</v>
          </cell>
        </row>
        <row r="51">
          <cell r="A51" t="str">
            <v>SI1542_20241112</v>
          </cell>
          <cell r="B51">
            <v>45608</v>
          </cell>
          <cell r="C51" t="str">
            <v>아이오페 스템Ⅲ 클리니컬 리커버리 크림 50ML(25) 내캡 사출</v>
          </cell>
          <cell r="D51" t="str">
            <v>T3 시사출, 수정사항 확인(외캡 조립 언더컷 부위)</v>
          </cell>
          <cell r="E51">
            <v>100</v>
          </cell>
          <cell r="F51">
            <v>45609</v>
          </cell>
          <cell r="G51" t="str">
            <v>SI1542</v>
          </cell>
          <cell r="H51" t="str">
            <v>A6801</v>
          </cell>
          <cell r="I51" t="str">
            <v>M241343_01</v>
          </cell>
          <cell r="J51" t="str">
            <v>PP (롯데케미칼 J-560S)</v>
          </cell>
          <cell r="K51" t="str">
            <v>증착사양</v>
          </cell>
          <cell r="M51" t="str">
            <v>14일 증착해서 15일 2시 T3 미팅에 제출해야 합니다.</v>
          </cell>
        </row>
        <row r="52">
          <cell r="A52" t="str">
            <v>SI1540_20241112</v>
          </cell>
          <cell r="B52">
            <v>45608</v>
          </cell>
          <cell r="C52" t="str">
            <v>아이오페 스템Ⅲ 클리니컬 리커버리 크림 50ML(25) 캡장식 사출</v>
          </cell>
          <cell r="D52" t="str">
            <v>T3 시사출, 수정사항 확인(외경 0.1)</v>
          </cell>
          <cell r="E52">
            <v>100</v>
          </cell>
          <cell r="F52">
            <v>45609</v>
          </cell>
          <cell r="G52" t="str">
            <v>SI1540</v>
          </cell>
          <cell r="H52" t="str">
            <v>A6801</v>
          </cell>
          <cell r="I52" t="str">
            <v>M241344_01</v>
          </cell>
          <cell r="J52" t="str">
            <v>PETG (SK케미칼 PN200)</v>
          </cell>
          <cell r="K52" t="str">
            <v>증착사양</v>
          </cell>
        </row>
        <row r="53">
          <cell r="A53" t="str">
            <v>SI1554_20241112</v>
          </cell>
          <cell r="B53">
            <v>45608</v>
          </cell>
          <cell r="C53" t="str">
            <v>설화수 진설클렌징폼 견본 40ml (25AD 외캡</v>
          </cell>
          <cell r="D53" t="str">
            <v>표면 스크레치 확인, 지난번 제출한 색상샘플에서 4%로 컨펌됨</v>
          </cell>
          <cell r="E53">
            <v>100</v>
          </cell>
          <cell r="F53">
            <v>45610</v>
          </cell>
          <cell r="G53" t="str">
            <v>SI1554</v>
          </cell>
          <cell r="H53" t="str">
            <v>A6797</v>
          </cell>
          <cell r="I53" t="str">
            <v>M241286_01</v>
          </cell>
          <cell r="J53" t="str">
            <v>ABS (롯데첨단소재 SL-0100)</v>
          </cell>
          <cell r="K53" t="str">
            <v>신규MB입고</v>
          </cell>
          <cell r="M53" t="str">
            <v>색상실험 부탁합니다. 무광원료도 같이 실험해주세요!!, 스크래치 개선위해 온수사용 요청있습니다.</v>
          </cell>
        </row>
        <row r="54">
          <cell r="A54" t="str">
            <v>SI1553_20241112</v>
          </cell>
          <cell r="B54">
            <v>45608</v>
          </cell>
          <cell r="C54" t="str">
            <v>설화수 진설클렌징폼 견본 40ml (25AD 내캡</v>
          </cell>
          <cell r="D54" t="str">
            <v>색상실험, 후가공 테스트 제출, 향후 표견</v>
          </cell>
          <cell r="E54" t="str">
            <v>각 80</v>
          </cell>
          <cell r="F54">
            <v>45610</v>
          </cell>
          <cell r="G54" t="str">
            <v>SI1553</v>
          </cell>
          <cell r="H54" t="str">
            <v>A6797</v>
          </cell>
          <cell r="I54" t="str">
            <v>M241285_01</v>
          </cell>
          <cell r="J54" t="str">
            <v>PP (롯데케미칼 J-560S)</v>
          </cell>
          <cell r="K54" t="str">
            <v>신규MB입고</v>
          </cell>
          <cell r="M54" t="str">
            <v xml:space="preserve">색상테스트 진행 시 컨펌된 색상으로 후가공테스트 바로 제출할 수 있도록 각각 수량을 80개씩 사출해 주시면 좋겠습니다. </v>
          </cell>
        </row>
        <row r="55">
          <cell r="A55" t="str">
            <v>SI1519_20241113</v>
          </cell>
          <cell r="B55">
            <v>45609</v>
          </cell>
          <cell r="C55" t="str">
            <v>아이오페 슈퍼바이탈 크림 50ML(24EC 내용기</v>
          </cell>
          <cell r="D55" t="str">
            <v>2차 내용기 사출 요청, 완료회의 제출 시료,지난번 사출한 것 나사경 0.1 작게 사출되었습니다. 개선 요청드립니다.</v>
          </cell>
          <cell r="E55">
            <v>40</v>
          </cell>
          <cell r="F55">
            <v>45610</v>
          </cell>
          <cell r="G55" t="str">
            <v>SI1519</v>
          </cell>
          <cell r="H55" t="str">
            <v>A6749</v>
          </cell>
          <cell r="I55" t="str">
            <v>M241150_01, M241158_02</v>
          </cell>
          <cell r="J55" t="str">
            <v>J560K </v>
          </cell>
          <cell r="K55" t="str">
            <v>SW240613-10</v>
          </cell>
          <cell r="L55">
            <v>4</v>
          </cell>
          <cell r="M55" t="str">
            <v>공유드린대로 1차 용기와 치수가 같아야 하고 스토퍼 감도 동일하게 나오는지 확인하고 제출하라고 합니다. 감사합니다</v>
          </cell>
        </row>
        <row r="56">
          <cell r="A56" t="str">
            <v>SI1557_20241115</v>
          </cell>
          <cell r="B56">
            <v>45611</v>
          </cell>
          <cell r="C56" t="str">
            <v>라보에이치 모발강화 트리트먼트 200ml 50파이 원터치캡</v>
          </cell>
          <cell r="D56" t="str">
            <v>T2 시사출, 아이팩 제품</v>
          </cell>
          <cell r="E56">
            <v>80</v>
          </cell>
          <cell r="F56">
            <v>45614</v>
          </cell>
          <cell r="G56" t="str">
            <v>SI1557</v>
          </cell>
          <cell r="H56" t="str">
            <v>A6794</v>
          </cell>
          <cell r="I56" t="str">
            <v>M241332-01</v>
          </cell>
          <cell r="J56" t="str">
            <v>PP (롯데케미칼 J-560S)</v>
          </cell>
          <cell r="K56" t="str">
            <v>수정된 MB로 사출해야 합니다</v>
          </cell>
        </row>
        <row r="57">
          <cell r="A57" t="str">
            <v>SI1558_20241115</v>
          </cell>
          <cell r="B57">
            <v>45611</v>
          </cell>
          <cell r="C57" t="str">
            <v>라보에이치 모발강화 트리트먼트 200ml 50파이 장식</v>
          </cell>
          <cell r="D57" t="str">
            <v>T2 시사출</v>
          </cell>
          <cell r="E57">
            <v>80</v>
          </cell>
          <cell r="F57">
            <v>45614</v>
          </cell>
          <cell r="G57" t="str">
            <v>SI1558</v>
          </cell>
          <cell r="H57" t="str">
            <v>A6794</v>
          </cell>
          <cell r="I57" t="str">
            <v>M241331-01</v>
          </cell>
          <cell r="J57" t="str">
            <v>PP (롯데케미칼 J-560S)</v>
          </cell>
        </row>
        <row r="58">
          <cell r="A58" t="str">
            <v>SI1559_20241115</v>
          </cell>
          <cell r="B58">
            <v>45611</v>
          </cell>
          <cell r="C58" t="str">
            <v>라보에이치 모발강화 트리트먼트 300ml 60파이 원터치캡</v>
          </cell>
          <cell r="D58" t="str">
            <v>T2 시사출</v>
          </cell>
          <cell r="E58">
            <v>80</v>
          </cell>
          <cell r="F58">
            <v>45614</v>
          </cell>
          <cell r="G58" t="str">
            <v>SI1559</v>
          </cell>
          <cell r="H58" t="str">
            <v>A6802</v>
          </cell>
          <cell r="I58" t="str">
            <v>M241336-01</v>
          </cell>
          <cell r="J58">
            <v>0</v>
          </cell>
        </row>
        <row r="59">
          <cell r="A59" t="str">
            <v>SI1560_20241115</v>
          </cell>
          <cell r="B59">
            <v>45611</v>
          </cell>
          <cell r="C59" t="str">
            <v>라보에이치 모발강화 트리트먼트 300ml 60파이 장식</v>
          </cell>
          <cell r="D59" t="str">
            <v>T2 시사출</v>
          </cell>
          <cell r="E59">
            <v>80</v>
          </cell>
          <cell r="F59">
            <v>45614</v>
          </cell>
          <cell r="G59" t="str">
            <v>SI1560</v>
          </cell>
          <cell r="H59" t="str">
            <v>A6802</v>
          </cell>
          <cell r="I59" t="str">
            <v>M241335-01</v>
          </cell>
          <cell r="J59">
            <v>0</v>
          </cell>
        </row>
        <row r="60">
          <cell r="A60" t="str">
            <v>SI1519_20241115</v>
          </cell>
          <cell r="B60">
            <v>45611</v>
          </cell>
          <cell r="C60" t="str">
            <v>아이오페 슈퍼바이탈 크림 50ML(24EC 내용기</v>
          </cell>
          <cell r="D60" t="str">
            <v>2차 내용기 재사출 요청, 완료회의 제출 시료, 기능테스트 제출 필요, 지난번 사출한 것 역시 나사경 0.05작게 사출되었습니다. 개선 요청드립니다.</v>
          </cell>
          <cell r="E60">
            <v>100</v>
          </cell>
          <cell r="F60">
            <v>45615</v>
          </cell>
          <cell r="G60" t="str">
            <v>SI1519</v>
          </cell>
          <cell r="H60" t="str">
            <v>A6749</v>
          </cell>
          <cell r="I60" t="str">
            <v>M241150_01, M241158_02</v>
          </cell>
          <cell r="J60" t="str">
            <v>J560K </v>
          </cell>
          <cell r="K60" t="str">
            <v>SW240613-10</v>
          </cell>
          <cell r="L60">
            <v>4</v>
          </cell>
          <cell r="M60" t="str">
            <v>슈바 2차 내용기 치수 여전히 빠진다고 다시 사출해달랍니다.  나사내경이 49.3대가 나와야하는데 49.15~23정도 나온다고 합니다. 이번 사출물도 지난번 것과 별차이 없다고 합니다. 적어도 0.05이상 키워야한다고 합니다. 예~전에 제출한 2차는 그 규격 나왔었다고 합니다.</v>
          </cell>
        </row>
        <row r="61">
          <cell r="A61" t="str">
            <v>SI1544_20241118</v>
          </cell>
          <cell r="B61">
            <v>45614</v>
          </cell>
          <cell r="C61" t="str">
            <v>설화수 진설클렌징폼 견본 15ml (25AD 외캡</v>
          </cell>
          <cell r="D61" t="str">
            <v>후가공 테스트용 샘플, 표견용 포함, 색상테스트 포함</v>
          </cell>
          <cell r="E61" t="str">
            <v>각 80</v>
          </cell>
          <cell r="F61">
            <v>45616</v>
          </cell>
          <cell r="G61" t="str">
            <v>SI1544</v>
          </cell>
          <cell r="H61" t="str">
            <v>A6798</v>
          </cell>
          <cell r="I61" t="str">
            <v>M241283_01</v>
          </cell>
          <cell r="J61" t="str">
            <v>PP (롯데케미칼 J-560S)</v>
          </cell>
          <cell r="K61" t="str">
            <v>신규MB입고</v>
          </cell>
          <cell r="M61" t="str">
            <v xml:space="preserve">색상테스트 진행 시 컨펌된 색상으로 후가공테스트 바로 제출할 수 있도록 각각 수량을 80개씩 사출해 주시면 좋겠습니다. </v>
          </cell>
        </row>
        <row r="62">
          <cell r="A62" t="str">
            <v>SI1545_20241118</v>
          </cell>
          <cell r="B62">
            <v>45614</v>
          </cell>
          <cell r="C62" t="str">
            <v>설화수 진설클렌징폼 견본 15ml (25AD 내캡</v>
          </cell>
          <cell r="D62" t="str">
            <v>후가공 테스트용 샘플, 표견용 포함</v>
          </cell>
          <cell r="E62">
            <v>100</v>
          </cell>
          <cell r="F62">
            <v>45616</v>
          </cell>
          <cell r="G62" t="str">
            <v>SI1545</v>
          </cell>
          <cell r="H62" t="str">
            <v>A6798</v>
          </cell>
          <cell r="I62" t="str">
            <v>M241282_01</v>
          </cell>
          <cell r="J62" t="str">
            <v>PP (롯데케미칼 J-560S)</v>
          </cell>
          <cell r="K62" t="str">
            <v>기존 MB 5%-&gt;7%로 조정</v>
          </cell>
        </row>
        <row r="63">
          <cell r="A63" t="str">
            <v>_20241119</v>
          </cell>
          <cell r="B63">
            <v>45615</v>
          </cell>
          <cell r="C63" t="str">
            <v>헤라 글로우 쿠션 파운데이션21N1(견 5g(24) 상용기</v>
          </cell>
          <cell r="D63" t="str">
            <v>AP디자인팀 색상 작업용으로 요청 흰색으로 사출 요청</v>
          </cell>
          <cell r="E63">
            <v>50</v>
          </cell>
          <cell r="F63" t="str">
            <v>11월 22일</v>
          </cell>
          <cell r="G63" t="str">
            <v/>
          </cell>
          <cell r="H63" t="str">
            <v/>
          </cell>
          <cell r="I63" t="str">
            <v/>
          </cell>
          <cell r="J63" t="str">
            <v/>
          </cell>
          <cell r="K63" t="str">
            <v>백색</v>
          </cell>
          <cell r="M63" t="str">
            <v>깨끗하게 나오지 않아도 되는 것으로 협의봤습니다.</v>
          </cell>
        </row>
        <row r="64">
          <cell r="A64" t="str">
            <v>_20241119</v>
          </cell>
          <cell r="B64">
            <v>45615</v>
          </cell>
          <cell r="C64" t="str">
            <v>헤라 글로우 쿠션 파운데이션21N1(견 5g(24) 하용기</v>
          </cell>
          <cell r="D64" t="str">
            <v>AP디자인팀 색상 작업용으로 요청 흰색으로 사출 요청</v>
          </cell>
          <cell r="E64">
            <v>50</v>
          </cell>
          <cell r="F64" t="str">
            <v>11월 22일</v>
          </cell>
          <cell r="G64" t="str">
            <v/>
          </cell>
          <cell r="H64" t="str">
            <v/>
          </cell>
          <cell r="I64" t="str">
            <v/>
          </cell>
          <cell r="J64" t="str">
            <v/>
          </cell>
          <cell r="K64" t="str">
            <v>백색</v>
          </cell>
          <cell r="M64" t="str">
            <v>깨끗하게 나오지 않아도 되는 것으로 협의봤습니다.</v>
          </cell>
        </row>
        <row r="65">
          <cell r="A65" t="str">
            <v>SI1544_20241120</v>
          </cell>
          <cell r="B65">
            <v>45616</v>
          </cell>
          <cell r="C65" t="str">
            <v>설화수 진설클렌징폼 견본 15ml (25AD 외캡</v>
          </cell>
          <cell r="D65" t="str">
            <v>프리웍스 300ea 납품용, 12월 5일 납품 예정</v>
          </cell>
          <cell r="E65">
            <v>400</v>
          </cell>
          <cell r="F65">
            <v>45623</v>
          </cell>
          <cell r="G65" t="str">
            <v>SI1544</v>
          </cell>
          <cell r="H65" t="str">
            <v>A6798</v>
          </cell>
          <cell r="I65" t="str">
            <v>M241283_01</v>
          </cell>
          <cell r="J65" t="str">
            <v>PP (롯데케미칼 J-560S)</v>
          </cell>
          <cell r="K65" t="str">
            <v>PP 4%로 컨펌</v>
          </cell>
          <cell r="L65">
            <v>0.04</v>
          </cell>
          <cell r="M65" t="str">
            <v>* 최종 확정 MB로 작성부탁드립니다.</v>
          </cell>
        </row>
        <row r="66">
          <cell r="A66" t="str">
            <v>SI1545_20241120</v>
          </cell>
          <cell r="B66">
            <v>45616</v>
          </cell>
          <cell r="C66" t="str">
            <v>설화수 진설클렌징폼 견본 15ml (25AD 내캡</v>
          </cell>
          <cell r="D66" t="str">
            <v>프리웍스 300ea 납품용, 12월 5일 납품 예정</v>
          </cell>
          <cell r="E66">
            <v>400</v>
          </cell>
          <cell r="F66">
            <v>45623</v>
          </cell>
          <cell r="G66" t="str">
            <v>SI1545</v>
          </cell>
          <cell r="H66" t="str">
            <v>A6798</v>
          </cell>
          <cell r="I66" t="str">
            <v>M241282_01</v>
          </cell>
          <cell r="J66" t="str">
            <v>PP (롯데케미칼 J-560S)</v>
          </cell>
        </row>
        <row r="67">
          <cell r="A67" t="str">
            <v>SI1554_20241120</v>
          </cell>
          <cell r="B67">
            <v>45616</v>
          </cell>
          <cell r="C67" t="str">
            <v>설화수 진설클렌징폼 견본 40ml (25AD 외캡</v>
          </cell>
          <cell r="D67" t="str">
            <v>프리웍스 300ea 납품용, 12월 5일 납품 예정</v>
          </cell>
          <cell r="E67">
            <v>400</v>
          </cell>
          <cell r="F67">
            <v>45623</v>
          </cell>
          <cell r="G67" t="str">
            <v>SI1554</v>
          </cell>
          <cell r="H67" t="str">
            <v>A6797</v>
          </cell>
          <cell r="I67" t="str">
            <v>M241286_01</v>
          </cell>
          <cell r="J67" t="str">
            <v>ABS (롯데첨단소재 SL-0100)</v>
          </cell>
          <cell r="K67" t="str">
            <v>지난 실험에서 4% 컨펌</v>
          </cell>
          <cell r="L67">
            <v>0.04</v>
          </cell>
          <cell r="M67" t="str">
            <v>가스밴트 수정 후 스크래치 개선 효과 있는지 확인하려 합니다. 찍는 김에 프리웍스 수량 사출하면 어떨까 합니다.</v>
          </cell>
        </row>
        <row r="68">
          <cell r="A68" t="str">
            <v>SI1553_20241120</v>
          </cell>
          <cell r="B68">
            <v>45616</v>
          </cell>
          <cell r="C68" t="str">
            <v>설화수 진설클렌징폼 견본 40ml (25AD 내캡</v>
          </cell>
          <cell r="D68" t="str">
            <v>프리웍스 300ea 납품용, 12월 5일 납품 예정, 박 일정 고려</v>
          </cell>
          <cell r="E68">
            <v>400</v>
          </cell>
          <cell r="F68">
            <v>45623</v>
          </cell>
          <cell r="G68" t="str">
            <v>SI1553</v>
          </cell>
          <cell r="H68" t="str">
            <v>A6797</v>
          </cell>
          <cell r="I68" t="str">
            <v>M241285_01</v>
          </cell>
          <cell r="J68" t="str">
            <v>PP (롯데케미칼 J-560S)</v>
          </cell>
          <cell r="K68" t="str">
            <v>PP 4%로 컨펌</v>
          </cell>
          <cell r="L68">
            <v>0.04</v>
          </cell>
        </row>
        <row r="69">
          <cell r="A69" t="str">
            <v>SI1539_20241120</v>
          </cell>
          <cell r="B69">
            <v>45616</v>
          </cell>
          <cell r="C69" t="str">
            <v>설화수 진설클렌징폼 150ml (25AD 내캡</v>
          </cell>
          <cell r="D69" t="str">
            <v>프리웍스 300ea 납품용, 12월 5일 납품 예정</v>
          </cell>
          <cell r="E69">
            <v>400</v>
          </cell>
          <cell r="F69">
            <v>45623</v>
          </cell>
          <cell r="G69" t="str">
            <v>SI1539</v>
          </cell>
          <cell r="H69" t="str">
            <v>A6787</v>
          </cell>
          <cell r="I69" t="str">
            <v>M241245_01</v>
          </cell>
          <cell r="J69" t="str">
            <v>PP (롯데케미칼 J-560S)</v>
          </cell>
          <cell r="K69" t="str">
            <v>PP 4%로 컨펌</v>
          </cell>
          <cell r="L69">
            <v>0.04</v>
          </cell>
        </row>
        <row r="70">
          <cell r="A70" t="str">
            <v>SI1538_20241120</v>
          </cell>
          <cell r="B70">
            <v>45616</v>
          </cell>
          <cell r="C70" t="str">
            <v>설화수 진설클렌징폼 150ml (25AD 외캡</v>
          </cell>
          <cell r="D70" t="str">
            <v>프리웍스 300ea 납품용, 12월 5일 납품 예정, 코팅일정 고려</v>
          </cell>
          <cell r="E70">
            <v>400</v>
          </cell>
          <cell r="F70">
            <v>45623</v>
          </cell>
          <cell r="G70" t="str">
            <v>SI1538</v>
          </cell>
          <cell r="H70" t="str">
            <v>A6787</v>
          </cell>
          <cell r="I70" t="str">
            <v>M241246_01</v>
          </cell>
          <cell r="J70" t="str">
            <v>PETG (SK케미칼 PN200)</v>
          </cell>
        </row>
        <row r="71">
          <cell r="A71" t="str">
            <v>SI1537_20241120</v>
          </cell>
          <cell r="B71">
            <v>45616</v>
          </cell>
          <cell r="C71" t="str">
            <v>설화수 진설클렌징폼 150ml (25AD 캡장식</v>
          </cell>
          <cell r="D71" t="str">
            <v>프리웍스 300ea 납품용, 12월 5일 납품 예정, 증착일정 고려</v>
          </cell>
          <cell r="E71">
            <v>400</v>
          </cell>
          <cell r="F71">
            <v>45623</v>
          </cell>
          <cell r="G71" t="str">
            <v>SI1537</v>
          </cell>
          <cell r="H71" t="str">
            <v>A6787</v>
          </cell>
          <cell r="I71" t="str">
            <v>M241247_01</v>
          </cell>
          <cell r="J71" t="str">
            <v>ABS (롯데첨단소재 MP-0670)</v>
          </cell>
        </row>
        <row r="72">
          <cell r="A72" t="str">
            <v>SI1519_20241122</v>
          </cell>
          <cell r="B72">
            <v>45618</v>
          </cell>
          <cell r="C72" t="str">
            <v>아이오페 슈퍼바이탈 크림 50ML(24EC 내용기</v>
          </cell>
          <cell r="D72" t="str">
            <v>2차 내용기 재사출 요청, 완료회의 제출 시료, 기능테스트 제출 필요, 지난번 사출한 것 역시 나사경 0.05작게 사출되었습니다. 개선 요청드립니다.</v>
          </cell>
          <cell r="E72">
            <v>100</v>
          </cell>
          <cell r="F72">
            <v>45621</v>
          </cell>
          <cell r="G72" t="str">
            <v>SI1519</v>
          </cell>
          <cell r="H72" t="str">
            <v>A6749</v>
          </cell>
          <cell r="I72" t="str">
            <v>M241150_01, M241158_02</v>
          </cell>
          <cell r="J72" t="str">
            <v>J560K </v>
          </cell>
          <cell r="K72" t="str">
            <v>SW240613-10</v>
          </cell>
          <cell r="M72" t="str">
            <v>슈바 2차 내용기 나사경 기준으로 51.70대가 나오도록 조정해주세요.(지난번 샘플 나사경이 51.64나왔는데 나사내측 0.05키워달라한 후 나사경이 51.78나와서 갈림현상 등 발생했습니다. 그래서 나사경 기준으로 치수 확인하도록 하였습니다)</v>
          </cell>
        </row>
        <row r="73">
          <cell r="A73" t="str">
            <v>SI1499_20241122</v>
          </cell>
          <cell r="B73">
            <v>45618</v>
          </cell>
          <cell r="C73" t="str">
            <v>7556469    설화수 자음생크림 견 10ml (24AD) 외캡 사출</v>
          </cell>
          <cell r="D73" t="str">
            <v>PCR ABS (롯데케미칼 GC-0755 50%)로 사출/증착요청, 저가 모델에 pcr적용 가능한지 확인하기 위함이라고 함</v>
          </cell>
          <cell r="E73">
            <v>100</v>
          </cell>
          <cell r="F73">
            <v>45623</v>
          </cell>
          <cell r="G73" t="str">
            <v>SI1499</v>
          </cell>
          <cell r="M73" t="str">
            <v>pcr로 했을 때 문제점을 AP래디언스 캡을 가져가서 설명했습니다. 한도처리해서라도 사용가능성 있다고 해서 샘플 진행합니다</v>
          </cell>
        </row>
        <row r="74">
          <cell r="A74" t="str">
            <v>SI1554_20241127</v>
          </cell>
          <cell r="B74">
            <v>45623</v>
          </cell>
          <cell r="C74" t="str">
            <v>설화수 진설클렌징폼 견본 40ml (25AD 외캡</v>
          </cell>
          <cell r="D74" t="str">
            <v>긴급 요청입니다. 장진영님,
50g 외캡 사출 아래 조건 조정하여 긴급으로 진행해주세요. 바로 생산팀에 요청하셔서 진행부탁드립니다.
언더컷 빠질때 부하 받아서 생기는거라면 아래 조건 변경으로 개선 가능해보입니다. 
1. 냉각 타임 줄여서
2,. 온수 온도 올려서
3. ABS 그레이드 LG화학 HF380 로 진행
  (이외 다른 ABS그레이드 있으면 다 찍어봐주세요)</v>
          </cell>
          <cell r="E74">
            <v>100</v>
          </cell>
          <cell r="F74">
            <v>45624</v>
          </cell>
          <cell r="G74" t="str">
            <v>SI1554</v>
          </cell>
          <cell r="H74" t="str">
            <v>A6797</v>
          </cell>
          <cell r="I74" t="str">
            <v>M241286_01</v>
          </cell>
          <cell r="J74" t="str">
            <v xml:space="preserve"> LG화학 HF380 로 진행</v>
          </cell>
          <cell r="K74" t="str">
            <v>지난 실험에서 4% 컨펌</v>
          </cell>
          <cell r="M74" t="str">
            <v>내일 바로 찍어서 샘플 전달해달라고 합니다.(수량 원료별 각 100개)</v>
          </cell>
        </row>
        <row r="75">
          <cell r="A75" t="str">
            <v>SI1519_20241127</v>
          </cell>
          <cell r="B75">
            <v>45623</v>
          </cell>
          <cell r="C75" t="str">
            <v>아이오페 슈퍼바이탈 크림 50ML(24EC 내용기</v>
          </cell>
          <cell r="D75" t="str">
            <v>2차 내용기, 금형수정(게이트크기 키움) 후 사출진행, J560S도 함께 사출 요청(색상무관)</v>
          </cell>
          <cell r="E75">
            <v>200</v>
          </cell>
          <cell r="F75">
            <v>45625</v>
          </cell>
          <cell r="G75" t="str">
            <v>SI1519</v>
          </cell>
          <cell r="H75" t="str">
            <v>A6749</v>
          </cell>
          <cell r="I75" t="str">
            <v>M241150_01, M241158_02</v>
          </cell>
          <cell r="J75" t="str">
            <v>J560K </v>
          </cell>
          <cell r="K75" t="str">
            <v>SW240613-10</v>
          </cell>
          <cell r="M75" t="str">
            <v>게이트 키운 것이 치수 맞추는데 도움이 되는지 살펴봐야 합니다. J560K를 찍은 뒤 같은 조건으로 J560S를 찍어주시고(치수가 클 것으로 예상), 다음에 치수를 맞춰서 사출해 주세요. 이유는 J560K와 J560S의 수축편차, 치수를 맞추는 사출 조건의 차이를 기록해서 참고자료로 사용할 예정입니다.</v>
          </cell>
        </row>
        <row r="76">
          <cell r="A76" t="str">
            <v>SI1589_20241127</v>
          </cell>
          <cell r="B76">
            <v>45623</v>
          </cell>
          <cell r="C76" t="str">
            <v>아이오페 슈퍼바이탈 크림 50ML(24EC 외캡</v>
          </cell>
          <cell r="D76" t="str">
            <v>2차 사출 요청, 기능/후가공테스트 진행 예정, 사상/후가공 진행 ABS로 진행</v>
          </cell>
          <cell r="E76">
            <v>200</v>
          </cell>
          <cell r="F76">
            <v>45625</v>
          </cell>
          <cell r="G76" t="str">
            <v>SI1589</v>
          </cell>
          <cell r="H76" t="str">
            <v>A6749</v>
          </cell>
          <cell r="I76" t="str">
            <v>M241148_01, M241156_02</v>
          </cell>
          <cell r="J76" t="str">
            <v>ABS MP-0670</v>
          </cell>
        </row>
        <row r="77">
          <cell r="A77" t="str">
            <v>SI1522_20241127</v>
          </cell>
          <cell r="B77">
            <v>45623</v>
          </cell>
          <cell r="C77" t="str">
            <v>아이오페 슈퍼바이탈 크림 50ML(24EC 내캡</v>
          </cell>
          <cell r="D77" t="str">
            <v>2차 사출 요청, 기능/후가공테스트 진행 예정 색상2종류 각100개씩, 재고 있으면 재고 사용 가능</v>
          </cell>
          <cell r="E77">
            <v>100</v>
          </cell>
          <cell r="F77">
            <v>45625</v>
          </cell>
          <cell r="G77" t="str">
            <v>SI1522</v>
          </cell>
          <cell r="H77" t="str">
            <v>A6749</v>
          </cell>
          <cell r="I77" t="str">
            <v>M241147_01, M241155_02</v>
          </cell>
          <cell r="J77" t="str">
            <v>PP (다원소재 DW-2360)</v>
          </cell>
          <cell r="K77" t="str">
            <v>SW240521-1 (BEIGE)</v>
          </cell>
        </row>
        <row r="78">
          <cell r="A78" t="str">
            <v>SI1586_20241127</v>
          </cell>
          <cell r="B78">
            <v>45623</v>
          </cell>
          <cell r="C78" t="str">
            <v>아이오페 슈퍼바이탈 크림 50ML(24EC 외용기</v>
          </cell>
          <cell r="D78" t="str">
            <v>2차 사출 요청, 기능/후가공테스트 진행 예정, 사상/후가공 진행 ABS로 진행</v>
          </cell>
          <cell r="E78">
            <v>200</v>
          </cell>
          <cell r="F78">
            <v>45625</v>
          </cell>
          <cell r="G78" t="str">
            <v>SI1586</v>
          </cell>
          <cell r="H78" t="str">
            <v>A6749</v>
          </cell>
          <cell r="I78" t="str">
            <v>M241151_01, M241159_02</v>
          </cell>
          <cell r="J78" t="str">
            <v>ABS MP-0670</v>
          </cell>
          <cell r="M78" t="str">
            <v>재고 있으면 재고 사용 가능</v>
          </cell>
        </row>
        <row r="79">
          <cell r="A79" t="str">
            <v>SI1587_20241127</v>
          </cell>
          <cell r="B79">
            <v>45623</v>
          </cell>
          <cell r="C79" t="str">
            <v>아이오페 슈퍼바이탈 크림 50ML(24EC 용기받침</v>
          </cell>
          <cell r="D79" t="str">
            <v>2차 사출 요청, 기능/후가공테스트 진행 예정, 사상/후가공 진행 ABS로 진행</v>
          </cell>
          <cell r="E79">
            <v>200</v>
          </cell>
          <cell r="F79">
            <v>45625</v>
          </cell>
          <cell r="G79" t="str">
            <v>SI1587</v>
          </cell>
          <cell r="H79" t="str">
            <v>A6749</v>
          </cell>
          <cell r="I79" t="str">
            <v>M241152_01, M241160_02</v>
          </cell>
          <cell r="J79" t="str">
            <v>ABS MP-0670</v>
          </cell>
        </row>
        <row r="80">
          <cell r="A80" t="str">
            <v>SI1588_20241127</v>
          </cell>
          <cell r="B80">
            <v>45623</v>
          </cell>
          <cell r="C80" t="str">
            <v>아이오페 슈퍼바이탈 크림 50ML(24EC 캡장식</v>
          </cell>
          <cell r="D80" t="str">
            <v>2차 사출 요청, 기능/후가공테스트 진행 예정, 사상/후가공 진행 ABS로 진행</v>
          </cell>
          <cell r="E80">
            <v>200</v>
          </cell>
          <cell r="F80">
            <v>45625</v>
          </cell>
          <cell r="G80" t="str">
            <v>SI1588</v>
          </cell>
          <cell r="H80" t="str">
            <v>A6749</v>
          </cell>
          <cell r="I80" t="str">
            <v>M241149_01, M241157_02</v>
          </cell>
          <cell r="J80" t="str">
            <v>ABS MP-0670</v>
          </cell>
        </row>
        <row r="81">
          <cell r="A81" t="str">
            <v>SI0863_20241205</v>
          </cell>
          <cell r="B81">
            <v>45631</v>
          </cell>
          <cell r="C81" t="str">
            <v xml:space="preserve">7100170 라네즈 옴므액티브워터스킨(견 25ml(17)캡 </v>
          </cell>
          <cell r="D81" t="str">
            <v>신제품 위한 색상 테스트, 타겟에 맞게 %별 사출 요청(타겟있음) %별로 80개</v>
          </cell>
          <cell r="E81">
            <v>80</v>
          </cell>
          <cell r="F81">
            <v>45635</v>
          </cell>
          <cell r="G81" t="str">
            <v>SI0863</v>
          </cell>
          <cell r="H81" t="str">
            <v>A8292</v>
          </cell>
          <cell r="I81" t="str">
            <v>M201581</v>
          </cell>
          <cell r="J81" t="str">
            <v>PP J560S</v>
          </cell>
          <cell r="K81" t="str">
            <v>24-1125-10</v>
          </cell>
          <cell r="L81">
            <v>0.04</v>
          </cell>
          <cell r="M81" t="str">
            <v>제품 확인하느라 일정 늦어짐, 빠른 진행 부탁드립니다.</v>
          </cell>
        </row>
        <row r="82">
          <cell r="A82" t="str">
            <v>SI1542_20241205</v>
          </cell>
          <cell r="B82">
            <v>45631</v>
          </cell>
          <cell r="C82" t="str">
            <v>아이오페 스템Ⅲ 클리니컬 리커버리 크림 50ML(25) 내캡 사출</v>
          </cell>
          <cell r="D82" t="str">
            <v>T4 시사출, 수정사항 확인 조립방식 변경(금형 12월 9일 입고 예정)</v>
          </cell>
          <cell r="E82">
            <v>100</v>
          </cell>
          <cell r="F82">
            <v>45636</v>
          </cell>
          <cell r="G82" t="str">
            <v>SI1542</v>
          </cell>
          <cell r="H82" t="str">
            <v>A6801</v>
          </cell>
          <cell r="I82" t="str">
            <v>M241343_01</v>
          </cell>
          <cell r="J82" t="str">
            <v>PP (롯데케미칼 J-560S)</v>
          </cell>
          <cell r="M82" t="str">
            <v xml:space="preserve">12월 5일 완료 예정일인데 조립방식 변경으로 지연입니다. 최대한 우선 사출해주세요. </v>
          </cell>
        </row>
        <row r="83">
          <cell r="A83" t="str">
            <v>SI1540_20241205</v>
          </cell>
          <cell r="B83">
            <v>45631</v>
          </cell>
          <cell r="C83" t="str">
            <v>아이오페 스템Ⅲ 클리니컬 리커버리 크림 50ML(25) 캡장식 사출</v>
          </cell>
          <cell r="D83" t="str">
            <v>T4 시사출, 수정사항 확인 조립방식 변경(금형 12월 3일 입고)</v>
          </cell>
          <cell r="E83">
            <v>100</v>
          </cell>
          <cell r="F83">
            <v>45636</v>
          </cell>
          <cell r="G83" t="str">
            <v>SI1540</v>
          </cell>
          <cell r="H83" t="str">
            <v>A6801</v>
          </cell>
          <cell r="I83" t="str">
            <v>M241344_01</v>
          </cell>
          <cell r="J83" t="str">
            <v>PETG (SK케미칼 PN200)</v>
          </cell>
          <cell r="K83" t="str">
            <v>증착사양</v>
          </cell>
          <cell r="M83" t="str">
            <v>늦어도 11일에 샘플 회의 할 수 있도록 부탁드립니다.</v>
          </cell>
        </row>
        <row r="84">
          <cell r="A84" t="str">
            <v>SI1541_20241205</v>
          </cell>
          <cell r="B84">
            <v>45631</v>
          </cell>
          <cell r="C84" t="str">
            <v>아이오페 스템Ⅲ 클리니컬 리커버리 크림 50ML(25) 외캡 사출</v>
          </cell>
          <cell r="D84" t="str">
            <v>T4 시사출, 수정사항 확인 조립방식 변경(금형 12월 5일 입고 예정)</v>
          </cell>
          <cell r="E84">
            <v>100</v>
          </cell>
          <cell r="F84">
            <v>45636</v>
          </cell>
          <cell r="G84" t="str">
            <v>SI1541</v>
          </cell>
          <cell r="H84" t="str">
            <v>A6801</v>
          </cell>
          <cell r="I84" t="str">
            <v>M241342_01</v>
          </cell>
          <cell r="J84" t="str">
            <v>PETG (SK케미칼 PN200)</v>
          </cell>
          <cell r="K84" t="str">
            <v>투명</v>
          </cell>
        </row>
        <row r="85">
          <cell r="A85" t="str">
            <v>SI1568_20241205</v>
          </cell>
          <cell r="B85">
            <v>45631</v>
          </cell>
          <cell r="C85" t="str">
            <v>7493354 설화수 에센셜 퍼 탄력영양크림 75ML 내캡</v>
          </cell>
          <cell r="D85" t="str">
            <v>신제품 위한 색상 테스트, 타겟에 맞게 %별 사출 요청(타겟있음) %별로 80개</v>
          </cell>
          <cell r="E85">
            <v>80</v>
          </cell>
          <cell r="F85">
            <v>45637</v>
          </cell>
          <cell r="G85" t="str">
            <v>SI1568</v>
          </cell>
          <cell r="H85" t="str">
            <v/>
          </cell>
          <cell r="I85" t="str">
            <v>M211167</v>
          </cell>
          <cell r="K85" t="str">
            <v>24-1122-6</v>
          </cell>
          <cell r="L85">
            <v>0.05</v>
          </cell>
        </row>
        <row r="86">
          <cell r="A86" t="str">
            <v>SI1352_20241205</v>
          </cell>
          <cell r="B86">
            <v>45631</v>
          </cell>
          <cell r="C86" t="str">
            <v>7493354 설화수 에센셜 퍼 탄력영양크림 75ML 외캡</v>
          </cell>
          <cell r="D86" t="str">
            <v>증착색상 변경, 기존 네츄럴 재고 있으며 대체 가능</v>
          </cell>
          <cell r="E86">
            <v>150</v>
          </cell>
          <cell r="F86">
            <v>45637</v>
          </cell>
          <cell r="G86" t="str">
            <v>SI1352</v>
          </cell>
          <cell r="H86" t="str">
            <v/>
          </cell>
          <cell r="I86" t="str">
            <v>M211168</v>
          </cell>
        </row>
        <row r="87">
          <cell r="A87" t="str">
            <v>SI1524_20241205</v>
          </cell>
          <cell r="B87">
            <v>45631</v>
          </cell>
          <cell r="C87" t="str">
            <v>설화수 자음수 35ML 캡</v>
          </cell>
          <cell r="D87" t="str">
            <v>신제품 위한 색상 테스트, 타겟에 맞게 %별 사출 요청(타겟있음) %별로 100개</v>
          </cell>
          <cell r="E87">
            <v>100</v>
          </cell>
          <cell r="F87">
            <v>45638</v>
          </cell>
          <cell r="G87" t="str">
            <v>SI1524</v>
          </cell>
          <cell r="H87" t="str">
            <v/>
          </cell>
          <cell r="I87" t="str">
            <v>M201128</v>
          </cell>
          <cell r="K87" t="str">
            <v>24-1122-7</v>
          </cell>
          <cell r="L87">
            <v>0.05</v>
          </cell>
        </row>
        <row r="88">
          <cell r="A88" t="str">
            <v>SI1569_20241205</v>
          </cell>
          <cell r="B88">
            <v>45631</v>
          </cell>
          <cell r="C88" t="str">
            <v>v=b 16cavity 콜드금형</v>
          </cell>
          <cell r="D88" t="str">
            <v>신제품 라네즈 유스 콜라겐 색상실험. 타겟에 맞게 %별 사출 요청(타겟있음) %별로 80개</v>
          </cell>
          <cell r="E88">
            <v>80</v>
          </cell>
          <cell r="F88">
            <v>45635</v>
          </cell>
          <cell r="G88" t="str">
            <v>SI1569</v>
          </cell>
          <cell r="H88" t="str">
            <v/>
          </cell>
          <cell r="I88" t="str">
            <v/>
          </cell>
          <cell r="K88" t="str">
            <v>241202-5(동진)</v>
          </cell>
        </row>
        <row r="89">
          <cell r="A89" t="str">
            <v>SI1540_20241211</v>
          </cell>
          <cell r="B89">
            <v>45637</v>
          </cell>
          <cell r="C89" t="str">
            <v>아이오페 스템Ⅲ 클리니컬 리커버리 크림 50ML(25) 캡장식 사출</v>
          </cell>
          <cell r="D89" t="str">
            <v>10일 논의 된 대로 양산 가능 사출조건으로 사출 해주세요</v>
          </cell>
          <cell r="E89">
            <v>100</v>
          </cell>
          <cell r="F89">
            <v>45637</v>
          </cell>
          <cell r="G89" t="str">
            <v>SI1540</v>
          </cell>
          <cell r="H89" t="str">
            <v>A6801</v>
          </cell>
          <cell r="I89" t="str">
            <v>M241344_01</v>
          </cell>
          <cell r="J89" t="str">
            <v>PETG (SK케미칼 PN200)</v>
          </cell>
          <cell r="K89" t="str">
            <v>증착사양</v>
          </cell>
        </row>
        <row r="90">
          <cell r="A90" t="str">
            <v>0_20241211</v>
          </cell>
          <cell r="B90">
            <v>45637</v>
          </cell>
          <cell r="C90" t="str">
            <v>PET 사출핀</v>
          </cell>
          <cell r="D90" t="str">
            <v>PBT로 해야 하는데 사출PET로 진행되어서 다시 요청드립니다.</v>
          </cell>
          <cell r="E90">
            <v>200</v>
          </cell>
          <cell r="F90">
            <v>45639</v>
          </cell>
          <cell r="G90">
            <v>0</v>
          </cell>
          <cell r="H90" t="str">
            <v>A6795</v>
          </cell>
          <cell r="I90" t="str">
            <v>S241013_01</v>
          </cell>
          <cell r="J90" t="str">
            <v>PBT</v>
          </cell>
          <cell r="K90" t="str">
            <v>내츄럴</v>
          </cell>
        </row>
        <row r="91">
          <cell r="A91" t="str">
            <v>SI1537_20241211</v>
          </cell>
          <cell r="B91">
            <v>45637</v>
          </cell>
          <cell r="C91" t="str">
            <v>설화수 진설클렌징폼 150ml (25AD 캡장식</v>
          </cell>
          <cell r="D91" t="str">
            <v>표견 수량 부족, 증착 불량으로 표견 수량 부족함</v>
          </cell>
          <cell r="E91">
            <v>100</v>
          </cell>
          <cell r="F91">
            <v>45638</v>
          </cell>
          <cell r="G91" t="str">
            <v>SI1537</v>
          </cell>
          <cell r="H91" t="str">
            <v>A6787</v>
          </cell>
          <cell r="I91" t="str">
            <v>M241247_01</v>
          </cell>
          <cell r="J91" t="str">
            <v>ABS (롯데첨단소재 MP-0670)</v>
          </cell>
        </row>
        <row r="92">
          <cell r="A92" t="str">
            <v>SI1400_20241211</v>
          </cell>
          <cell r="B92">
            <v>45637</v>
          </cell>
          <cell r="C92" t="str">
            <v>아모레모듈25ML 단캡</v>
          </cell>
          <cell r="D92" t="str">
            <v>라네즈견본25ML를 마몽드맨 견본으로 사용하기 위해 색상변경, 색상실험입니다. 금주 13일 전달해야 해서 12일 사출 요청드립니다.</v>
          </cell>
          <cell r="E92">
            <v>100</v>
          </cell>
          <cell r="F92">
            <v>45638</v>
          </cell>
          <cell r="G92" t="str">
            <v>SI1400</v>
          </cell>
          <cell r="I92" t="str">
            <v>M241061_02</v>
          </cell>
          <cell r="K92" t="str">
            <v>24-1031-7</v>
          </cell>
          <cell r="M92" t="str">
            <v>프레스티지팀 사항입니다. 13일 제출할 수 있도록 부탁드립니다.</v>
          </cell>
        </row>
        <row r="93">
          <cell r="A93" t="str">
            <v>SI1519_20241215</v>
          </cell>
          <cell r="B93">
            <v>45641</v>
          </cell>
          <cell r="C93" t="str">
            <v>아이오페 슈퍼바이탈 크림 50ML(24EC 내용기</v>
          </cell>
          <cell r="D93" t="str">
            <v>2차 내용기, 파팅버나 나사경 치수 관리 내에 주요치수 최대한 크게 찍는 것이 목적, 도움이 되면 1차도 수정 예정</v>
          </cell>
          <cell r="E93">
            <v>200</v>
          </cell>
          <cell r="F93">
            <v>45642</v>
          </cell>
          <cell r="G93" t="str">
            <v>SI1519</v>
          </cell>
          <cell r="H93" t="str">
            <v>A6749</v>
          </cell>
          <cell r="I93" t="str">
            <v>M241150_01, M241158_02</v>
          </cell>
          <cell r="J93" t="str">
            <v>J560K </v>
          </cell>
          <cell r="K93" t="str">
            <v>SW240613-10</v>
          </cell>
          <cell r="M93" t="str">
            <v>파팅버나 나사경 치수 오버되지 않는 범위에서 기존치수보다 크게 찍습니다.</v>
          </cell>
        </row>
        <row r="94">
          <cell r="A94" t="str">
            <v>SI1542_20241216</v>
          </cell>
          <cell r="B94">
            <v>45642</v>
          </cell>
          <cell r="C94" t="str">
            <v>아이오페 스템Ⅲ 클리니컬 리커버리 크림 50ML(25) 내캡 사출</v>
          </cell>
          <cell r="D94" t="str">
            <v>T5 시사출, 수정사항 확인, 감촉 스토퍼 높이 및 길이 0.2mm씩 돌출량 키움.</v>
          </cell>
          <cell r="E94">
            <v>100</v>
          </cell>
          <cell r="F94">
            <v>45649</v>
          </cell>
          <cell r="G94" t="str">
            <v>SI1542</v>
          </cell>
          <cell r="H94" t="str">
            <v>A6801</v>
          </cell>
          <cell r="I94" t="str">
            <v>M241343_01</v>
          </cell>
          <cell r="J94" t="str">
            <v>PP (롯데케미칼 J-560S)</v>
          </cell>
          <cell r="M94" t="str">
            <v>금형 입고 시 바로 사출해야 합니다.</v>
          </cell>
        </row>
        <row r="95">
          <cell r="A95" t="str">
            <v>SI1540_20241216</v>
          </cell>
          <cell r="B95">
            <v>45642</v>
          </cell>
          <cell r="C95" t="str">
            <v>아이오페 스템Ⅲ 클리니컬 리커버리 크림 50ML(25) 캡장식 사출</v>
          </cell>
          <cell r="D95" t="str">
            <v>T5 시사출, 수정사항 확인 외경 키움. 기존 사출조건으로 찍고 외경 맞출 것</v>
          </cell>
          <cell r="E95">
            <v>100</v>
          </cell>
          <cell r="F95"/>
          <cell r="G95" t="str">
            <v>SI1540</v>
          </cell>
          <cell r="H95" t="str">
            <v>A6801</v>
          </cell>
          <cell r="I95" t="str">
            <v>M241344_01</v>
          </cell>
          <cell r="J95" t="str">
            <v>PETG (SK케미칼 PN200)</v>
          </cell>
          <cell r="K95" t="str">
            <v>증착사양</v>
          </cell>
          <cell r="M95" t="str">
            <v>금형 입고 시 바로 사출해야 합니다. - 외경 꼭 맞춰야 합니다. 이전 사출 조건 확인해주세요</v>
          </cell>
        </row>
        <row r="96">
          <cell r="A96" t="str">
            <v>SI1541_20241216</v>
          </cell>
          <cell r="B96">
            <v>45642</v>
          </cell>
          <cell r="C96" t="str">
            <v>아이오페 스템Ⅲ 클리니컬 리커버리 크림 50ML(25) 외캡 사출</v>
          </cell>
          <cell r="D96" t="str">
            <v>T5 시사출, 수정사항 확인 - DISC GATE 연결부 두께 보완 요청. (챔퍼 적용/금일 협의 내용 반영)
 - 내캡KEY조립 원형 리브에 GAS빼기(에어밴트) 추가 보완 요청.</v>
          </cell>
          <cell r="E96">
            <v>100</v>
          </cell>
          <cell r="F96">
            <v>45649</v>
          </cell>
          <cell r="G96" t="str">
            <v>SI1541</v>
          </cell>
          <cell r="H96" t="str">
            <v>A6801</v>
          </cell>
          <cell r="I96" t="str">
            <v>M241342_01</v>
          </cell>
          <cell r="J96" t="str">
            <v>PETG (SK케미칼 PN200)</v>
          </cell>
          <cell r="K96" t="str">
            <v>투명</v>
          </cell>
          <cell r="M96" t="str">
            <v>금형 입고 시 바로 사출해야 합니다. - 웰드 확인해야 합니다.</v>
          </cell>
        </row>
        <row r="97">
          <cell r="A97" t="str">
            <v>SI1554_20241216</v>
          </cell>
          <cell r="B97">
            <v>45642</v>
          </cell>
          <cell r="C97" t="str">
            <v>설화수 진설클렌징폼 견본 40ml (25AD 외캡</v>
          </cell>
          <cell r="D97" t="str">
            <v>색상이 않맞아 표견용 다시 사출, 타겟보고 %다시 조정해양 합니다.</v>
          </cell>
          <cell r="E97">
            <v>100</v>
          </cell>
          <cell r="F97">
            <v>45643</v>
          </cell>
          <cell r="G97" t="str">
            <v>SI1554</v>
          </cell>
          <cell r="H97" t="str">
            <v>A6797</v>
          </cell>
          <cell r="I97" t="str">
            <v>M241286_01</v>
          </cell>
          <cell r="J97" t="str">
            <v>ABS (롯데첨단소재 SL-0100)</v>
          </cell>
          <cell r="K97" t="str">
            <v>지난 실험에서 4% 컨펌</v>
          </cell>
          <cell r="L97">
            <v>0.04</v>
          </cell>
          <cell r="M97" t="str">
            <v>가스밴트 수정 후 스크래치 개선 효과 있는지 확인하려 합니다. 찍는 김에 프리웍스 수량 사출하면 어떨까 합니다.</v>
          </cell>
        </row>
        <row r="98">
          <cell r="A98" t="str">
            <v>SI1540_20241216</v>
          </cell>
          <cell r="B98">
            <v>45642</v>
          </cell>
          <cell r="C98" t="str">
            <v>아이오페 스템Ⅲ 클리니컬 리커버리 크림 50ML(25) 캡장식 사출</v>
          </cell>
          <cell r="D98" t="str">
            <v>치수 수정 전 ABS로 사출해서 치수 확인하고 금형 치수 수정한다고 합니다.</v>
          </cell>
          <cell r="E98">
            <v>50</v>
          </cell>
          <cell r="F98">
            <v>45642</v>
          </cell>
          <cell r="G98" t="str">
            <v>SI1540</v>
          </cell>
          <cell r="H98" t="str">
            <v>A6801</v>
          </cell>
          <cell r="I98" t="str">
            <v>M241344_01</v>
          </cell>
          <cell r="J98" t="str">
            <v>ABS</v>
          </cell>
          <cell r="K98" t="str">
            <v>증착사양</v>
          </cell>
          <cell r="M98" t="str">
            <v>품질문제 없고 양산가능한 조건으로 사출해주세요. 수정 후에도 지금 조건 유지해야 합니다!!</v>
          </cell>
        </row>
        <row r="99">
          <cell r="A99" t="str">
            <v>SI1557_20241218</v>
          </cell>
          <cell r="B99">
            <v>45644</v>
          </cell>
          <cell r="C99" t="str">
            <v>라보에이치 모발강화 트리트먼트 200ml 50파이 원터치캡</v>
          </cell>
          <cell r="D99" t="str">
            <v>T2 시사출, 아이팩 제품</v>
          </cell>
          <cell r="E99">
            <v>200</v>
          </cell>
          <cell r="F99">
            <v>45646</v>
          </cell>
          <cell r="G99" t="str">
            <v>SI1557</v>
          </cell>
          <cell r="H99" t="str">
            <v>A6794</v>
          </cell>
          <cell r="I99" t="str">
            <v>M241332-01</v>
          </cell>
          <cell r="J99" t="str">
            <v>PP (롯데케미칼 J-560S)</v>
          </cell>
          <cell r="K99" t="str">
            <v>수정된 MB로 사출해야 합니다</v>
          </cell>
        </row>
        <row r="100">
          <cell r="A100" t="str">
            <v>SI1558_20241218</v>
          </cell>
          <cell r="B100">
            <v>45644</v>
          </cell>
          <cell r="C100" t="str">
            <v>라보에이치 모발강화 트리트먼트 200ml 50파이 장식</v>
          </cell>
          <cell r="D100" t="str">
            <v>T2 시사출</v>
          </cell>
          <cell r="E100">
            <v>200</v>
          </cell>
          <cell r="F100">
            <v>45646</v>
          </cell>
          <cell r="G100" t="str">
            <v>SI1558</v>
          </cell>
          <cell r="H100" t="str">
            <v>A6794</v>
          </cell>
          <cell r="I100" t="str">
            <v>M241331-01</v>
          </cell>
          <cell r="J100" t="str">
            <v>PP (롯데케미칼 J-560S)</v>
          </cell>
        </row>
        <row r="101">
          <cell r="A101" t="str">
            <v>SI1559_20241218</v>
          </cell>
          <cell r="B101">
            <v>45644</v>
          </cell>
          <cell r="C101" t="str">
            <v>라보에이치 모발강화 트리트먼트 300ml 60파이 원터치캡</v>
          </cell>
          <cell r="D101" t="str">
            <v>T2 시사출</v>
          </cell>
          <cell r="E101">
            <v>200</v>
          </cell>
          <cell r="F101">
            <v>45646</v>
          </cell>
          <cell r="G101" t="str">
            <v>SI1559</v>
          </cell>
          <cell r="H101" t="str">
            <v>A6802</v>
          </cell>
          <cell r="I101" t="str">
            <v>M241336-01</v>
          </cell>
          <cell r="J101">
            <v>0</v>
          </cell>
        </row>
        <row r="102">
          <cell r="A102" t="str">
            <v>SI1560_20241218</v>
          </cell>
          <cell r="B102">
            <v>45644</v>
          </cell>
          <cell r="C102" t="str">
            <v>라보에이치 모발강화 트리트먼트 300ml 60파이 장식</v>
          </cell>
          <cell r="D102" t="str">
            <v>T2 시사출</v>
          </cell>
          <cell r="E102">
            <v>200</v>
          </cell>
          <cell r="F102">
            <v>45646</v>
          </cell>
          <cell r="G102" t="str">
            <v>SI1560</v>
          </cell>
          <cell r="H102" t="str">
            <v>A6802</v>
          </cell>
          <cell r="I102" t="str">
            <v>M241335-01</v>
          </cell>
          <cell r="J102">
            <v>0</v>
          </cell>
        </row>
        <row r="103">
          <cell r="A103" t="str">
            <v>SI1519_20241218</v>
          </cell>
          <cell r="B103">
            <v>45644</v>
          </cell>
          <cell r="C103" t="str">
            <v>아이오페 슈퍼바이탈 크림 50ML(24EC 내용기</v>
          </cell>
          <cell r="D103" t="str">
            <v>1차 금형, 치수 주의, 테스트에서는 1,2차 구분없이 1차 내용기로 조립하랍니다</v>
          </cell>
          <cell r="E103">
            <v>400</v>
          </cell>
          <cell r="F103">
            <v>45646</v>
          </cell>
          <cell r="G103" t="str">
            <v>SI1519</v>
          </cell>
          <cell r="H103" t="str">
            <v>A6749</v>
          </cell>
          <cell r="I103" t="str">
            <v>M241150_01, M241158_02</v>
          </cell>
          <cell r="J103" t="str">
            <v>J560K </v>
          </cell>
          <cell r="K103" t="str">
            <v>SW240613-10</v>
          </cell>
        </row>
        <row r="104">
          <cell r="A104" t="str">
            <v>SI1589_20241218</v>
          </cell>
          <cell r="B104">
            <v>45644</v>
          </cell>
          <cell r="C104" t="str">
            <v>아이오페 슈퍼바이탈 크림 50ML(24EC 외캡</v>
          </cell>
          <cell r="D104" t="str">
            <v>1차 금형, 4M변경 테스트 및 표견용</v>
          </cell>
          <cell r="E104">
            <v>200</v>
          </cell>
          <cell r="F104">
            <v>45646</v>
          </cell>
          <cell r="G104" t="str">
            <v>SI1589</v>
          </cell>
          <cell r="H104" t="str">
            <v>A6749</v>
          </cell>
          <cell r="I104" t="str">
            <v>M241148_01, M241156_02</v>
          </cell>
          <cell r="J104" t="str">
            <v>ABS MP-0670</v>
          </cell>
        </row>
        <row r="105">
          <cell r="A105" t="str">
            <v>SI1522_20241218</v>
          </cell>
          <cell r="B105">
            <v>45644</v>
          </cell>
          <cell r="C105" t="str">
            <v>아이오페 슈퍼바이탈 크림 50ML(24EC 내캡</v>
          </cell>
          <cell r="D105" t="str">
            <v>1차 금형, 4M변경 테스트 및 표견용</v>
          </cell>
          <cell r="E105">
            <v>100</v>
          </cell>
          <cell r="F105">
            <v>45646</v>
          </cell>
          <cell r="G105" t="str">
            <v>SI1522</v>
          </cell>
          <cell r="H105" t="str">
            <v>A6749</v>
          </cell>
          <cell r="I105" t="str">
            <v>M241147_01, M241155_02</v>
          </cell>
          <cell r="J105" t="str">
            <v>PP (다원소재 DW-2360)</v>
          </cell>
          <cell r="K105" t="str">
            <v>SW240521-1 (BEIGE)</v>
          </cell>
        </row>
        <row r="106">
          <cell r="A106" t="str">
            <v>SI1586_20241218</v>
          </cell>
          <cell r="B106">
            <v>45644</v>
          </cell>
          <cell r="C106" t="str">
            <v>아이오페 슈퍼바이탈 크림 50ML(24EC 외용기</v>
          </cell>
          <cell r="D106" t="str">
            <v>1차 금형, 4M변경 테스트 및 표견용</v>
          </cell>
          <cell r="E106">
            <v>200</v>
          </cell>
          <cell r="F106">
            <v>45646</v>
          </cell>
          <cell r="G106" t="str">
            <v>SI1586</v>
          </cell>
          <cell r="H106" t="str">
            <v>A6749</v>
          </cell>
          <cell r="I106" t="str">
            <v>M241151_01, M241159_02</v>
          </cell>
          <cell r="J106" t="str">
            <v>ABS MP-0670</v>
          </cell>
        </row>
        <row r="107">
          <cell r="A107" t="str">
            <v>SI1587_20241218</v>
          </cell>
          <cell r="B107">
            <v>45644</v>
          </cell>
          <cell r="C107" t="str">
            <v>아이오페 슈퍼바이탈 크림 50ML(24EC 용기받침</v>
          </cell>
          <cell r="D107" t="str">
            <v>1차 금형, 4M변경 테스트 및 표견용</v>
          </cell>
          <cell r="E107">
            <v>200</v>
          </cell>
          <cell r="F107">
            <v>45646</v>
          </cell>
          <cell r="G107" t="str">
            <v>SI1587</v>
          </cell>
          <cell r="H107" t="str">
            <v>A6749</v>
          </cell>
          <cell r="I107" t="str">
            <v>M241152_01, M241160_02</v>
          </cell>
          <cell r="J107" t="str">
            <v>ABS MP-0670</v>
          </cell>
        </row>
        <row r="108">
          <cell r="A108" t="str">
            <v>SI1588_20241218</v>
          </cell>
          <cell r="B108">
            <v>45644</v>
          </cell>
          <cell r="C108" t="str">
            <v>아이오페 슈퍼바이탈 크림 50ML(24EC 캡장식</v>
          </cell>
          <cell r="D108" t="str">
            <v>1차 금형, 4M변경 테스트 및 표견용</v>
          </cell>
          <cell r="E108">
            <v>200</v>
          </cell>
          <cell r="F108">
            <v>45646</v>
          </cell>
          <cell r="G108" t="str">
            <v>SI1588</v>
          </cell>
          <cell r="H108" t="str">
            <v>A6749</v>
          </cell>
          <cell r="I108" t="str">
            <v>M241149_01, M241157_02</v>
          </cell>
          <cell r="J108" t="str">
            <v>ABS MP-0670</v>
          </cell>
        </row>
        <row r="109">
          <cell r="A109" t="str">
            <v>SI1519_20241219</v>
          </cell>
          <cell r="B109">
            <v>45645</v>
          </cell>
          <cell r="C109" t="str">
            <v>아이오페 슈퍼바이탈 크림 50ML(24EC 내용기</v>
          </cell>
          <cell r="D109" t="str">
            <v>2차 금형, 치수 주의, 추가 테스트 있을 수 있어 미리 사출합니다. 점검 후 사출이 필요하면 미뤄도 됩니다.</v>
          </cell>
          <cell r="E109">
            <v>200</v>
          </cell>
          <cell r="F109">
            <v>45646</v>
          </cell>
          <cell r="G109" t="str">
            <v>SI1519</v>
          </cell>
          <cell r="H109" t="str">
            <v>A6749</v>
          </cell>
          <cell r="I109" t="str">
            <v>M241150_01, M241158_02</v>
          </cell>
          <cell r="J109" t="str">
            <v>J560K </v>
          </cell>
          <cell r="K109" t="str">
            <v>SW240613-10</v>
          </cell>
          <cell r="M109" t="str">
            <v>점검 후 사출이 필요하면 미뤄도 됩니다.</v>
          </cell>
        </row>
        <row r="110">
          <cell r="A110" t="str">
            <v>SI1589_20241219</v>
          </cell>
          <cell r="B110">
            <v>45645</v>
          </cell>
          <cell r="C110" t="str">
            <v>아이오페 슈퍼바이탈 크림 50ML(24EC 외캡</v>
          </cell>
          <cell r="D110" t="str">
            <v>2차 금형, 4M변경 테스트 및 표견용</v>
          </cell>
          <cell r="E110">
            <v>200</v>
          </cell>
          <cell r="F110">
            <v>45646</v>
          </cell>
          <cell r="G110" t="str">
            <v>SI1589</v>
          </cell>
          <cell r="H110" t="str">
            <v>A6749</v>
          </cell>
          <cell r="I110" t="str">
            <v>M241148_01, M241156_02</v>
          </cell>
          <cell r="J110" t="str">
            <v>ABS MP-0670</v>
          </cell>
        </row>
        <row r="111">
          <cell r="A111" t="str">
            <v>SI1522_20241219</v>
          </cell>
          <cell r="B111">
            <v>45645</v>
          </cell>
          <cell r="C111" t="str">
            <v>아이오페 슈퍼바이탈 크림 50ML(24EC 내캡</v>
          </cell>
          <cell r="D111" t="str">
            <v>2차 금형, 4M변경 테스트 및 표견용</v>
          </cell>
          <cell r="E111">
            <v>100</v>
          </cell>
          <cell r="F111">
            <v>45646</v>
          </cell>
          <cell r="G111" t="str">
            <v>SI1522</v>
          </cell>
          <cell r="H111" t="str">
            <v>A6749</v>
          </cell>
          <cell r="I111" t="str">
            <v>M241147_01, M241155_02</v>
          </cell>
          <cell r="J111" t="str">
            <v>PP (다원소재 DW-2360)</v>
          </cell>
          <cell r="K111" t="str">
            <v>SW240521-1 (BEIGE)</v>
          </cell>
        </row>
        <row r="112">
          <cell r="A112" t="str">
            <v>SI1586_20241219</v>
          </cell>
          <cell r="B112">
            <v>45645</v>
          </cell>
          <cell r="C112" t="str">
            <v>아이오페 슈퍼바이탈 크림 50ML(24EC 외용기</v>
          </cell>
          <cell r="D112" t="str">
            <v>2차 금형, 4M변경 테스트 및 표견용</v>
          </cell>
          <cell r="E112">
            <v>200</v>
          </cell>
          <cell r="F112">
            <v>45646</v>
          </cell>
          <cell r="G112" t="str">
            <v>SI1586</v>
          </cell>
          <cell r="H112" t="str">
            <v>A6749</v>
          </cell>
          <cell r="I112" t="str">
            <v>M241151_01, M241159_02</v>
          </cell>
          <cell r="J112" t="str">
            <v>ABS MP-0670</v>
          </cell>
        </row>
        <row r="113">
          <cell r="A113" t="str">
            <v>SI1587_20241219</v>
          </cell>
          <cell r="B113">
            <v>45645</v>
          </cell>
          <cell r="C113" t="str">
            <v>아이오페 슈퍼바이탈 크림 50ML(24EC 용기받침</v>
          </cell>
          <cell r="D113" t="str">
            <v>2차 금형, 4M변경 테스트 및 표견용</v>
          </cell>
          <cell r="E113">
            <v>200</v>
          </cell>
          <cell r="F113">
            <v>45646</v>
          </cell>
          <cell r="G113" t="str">
            <v>SI1587</v>
          </cell>
          <cell r="H113" t="str">
            <v>A6749</v>
          </cell>
          <cell r="I113" t="str">
            <v>M241152_01, M241160_02</v>
          </cell>
          <cell r="J113" t="str">
            <v>ABS MP-0670</v>
          </cell>
        </row>
        <row r="114">
          <cell r="A114" t="str">
            <v>SI1588_20241219</v>
          </cell>
          <cell r="B114">
            <v>45645</v>
          </cell>
          <cell r="C114" t="str">
            <v>아이오페 슈퍼바이탈 크림 50ML(24EC 캡장식</v>
          </cell>
          <cell r="D114" t="str">
            <v>2차 금형, 4M변경 테스트 및 표견용</v>
          </cell>
          <cell r="E114">
            <v>200</v>
          </cell>
          <cell r="F114">
            <v>45646</v>
          </cell>
          <cell r="G114" t="str">
            <v>SI1588</v>
          </cell>
          <cell r="H114" t="str">
            <v>A6749</v>
          </cell>
          <cell r="I114" t="str">
            <v>M241149_01, M241157_02</v>
          </cell>
          <cell r="J114" t="str">
            <v>ABS MP-0670</v>
          </cell>
        </row>
        <row r="115">
          <cell r="A115" t="str">
            <v>SI1582_20241221</v>
          </cell>
          <cell r="B115">
            <v>45647</v>
          </cell>
          <cell r="C115" t="str">
            <v>미장센 헬로 젤리 팡팡 상용기(글로우쿠션 금형)</v>
          </cell>
          <cell r="D115" t="str">
            <v>헤라글로우쿠션으로 색상 변경 진행 - MB입고완료, 무광코팅 사양입니다.</v>
          </cell>
          <cell r="E115">
            <v>100</v>
          </cell>
          <cell r="F115"/>
          <cell r="G115" t="str">
            <v>SI1582</v>
          </cell>
        </row>
        <row r="116">
          <cell r="A116" t="str">
            <v>SI1583_20241221</v>
          </cell>
          <cell r="B116">
            <v>45647</v>
          </cell>
          <cell r="C116" t="str">
            <v>미장센 헬로 젤리 팡팡 하용기</v>
          </cell>
          <cell r="D116" t="str">
            <v>헤라글로우쿠션으로 색상 변경 진행 - 하용기 먼저찍고 컴펌되면 상용기진행</v>
          </cell>
          <cell r="E116">
            <v>100</v>
          </cell>
          <cell r="F116">
            <v>45650</v>
          </cell>
          <cell r="G116" t="str">
            <v>SI1583</v>
          </cell>
          <cell r="M116" t="str">
            <v>하용기만 먼저찍고 색상컨펌되면 하용기 찍도록 조정했습니다.</v>
          </cell>
        </row>
        <row r="117">
          <cell r="A117" t="str">
            <v>SI1584_20241221</v>
          </cell>
          <cell r="B117">
            <v>45647</v>
          </cell>
          <cell r="C117" t="str">
            <v>미장센 헬로 젤리 팡팡 리필 상용기</v>
          </cell>
          <cell r="D117" t="str">
            <v>헤라글로우쿠션으로 색상 변경 진행</v>
          </cell>
          <cell r="E117">
            <v>100</v>
          </cell>
          <cell r="F117">
            <v>45650</v>
          </cell>
          <cell r="G117" t="str">
            <v>SI1584</v>
          </cell>
          <cell r="M117" t="str">
            <v>상용기만 먼저찍고 색상 컨펌되면 하용기 찍도록 조정했습니다.</v>
          </cell>
        </row>
        <row r="118">
          <cell r="A118" t="str">
            <v>SI1585_20241221</v>
          </cell>
          <cell r="B118">
            <v>45647</v>
          </cell>
          <cell r="C118" t="str">
            <v>미장센 헬로 젤리 팡팡 리필 하용기</v>
          </cell>
          <cell r="D118" t="str">
            <v>헤라글로우쿠션으로 색상 변경 진행 - 상용기 먼저찍고 컴펌되면 진행</v>
          </cell>
          <cell r="E118">
            <v>100</v>
          </cell>
          <cell r="G118" t="str">
            <v>SI1585</v>
          </cell>
        </row>
        <row r="119">
          <cell r="A119" t="str">
            <v>0_20241222</v>
          </cell>
          <cell r="B119">
            <v>45648</v>
          </cell>
          <cell r="C119" t="str">
            <v>PET 사출핀</v>
          </cell>
          <cell r="D119" t="str">
            <v>PBT로 해야 하는데 사출PET로 진행되어서 다시 요청드립니다.</v>
          </cell>
          <cell r="E119">
            <v>200</v>
          </cell>
          <cell r="F119">
            <v>45653</v>
          </cell>
          <cell r="G119">
            <v>0</v>
          </cell>
          <cell r="H119" t="str">
            <v>A6795</v>
          </cell>
          <cell r="I119" t="str">
            <v>S241013_01</v>
          </cell>
          <cell r="J119" t="str">
            <v>PBT</v>
          </cell>
          <cell r="K119" t="str">
            <v>내츄럴</v>
          </cell>
          <cell r="M119" t="str">
            <v>PBT 원료 확인해주세요</v>
          </cell>
        </row>
        <row r="120">
          <cell r="A120" t="str">
            <v>0_20241222</v>
          </cell>
          <cell r="B120">
            <v>45648</v>
          </cell>
          <cell r="C120" t="str">
            <v>PET 사출핀</v>
          </cell>
          <cell r="D120" t="str">
            <v>POK 요청있습니다</v>
          </cell>
          <cell r="E120">
            <v>200</v>
          </cell>
          <cell r="F120">
            <v>45653</v>
          </cell>
          <cell r="G120">
            <v>0</v>
          </cell>
          <cell r="H120" t="str">
            <v>A6795</v>
          </cell>
          <cell r="I120" t="str">
            <v>S241013_01</v>
          </cell>
          <cell r="J120" t="str">
            <v>POK</v>
          </cell>
          <cell r="K120" t="str">
            <v>내츄럴</v>
          </cell>
          <cell r="M120" t="str">
            <v>POK 원료 확인해주세요</v>
          </cell>
        </row>
        <row r="121">
          <cell r="A121" t="str">
            <v>SI1541_20241222</v>
          </cell>
          <cell r="B121">
            <v>45648</v>
          </cell>
          <cell r="C121" t="str">
            <v>아이오페 스템Ⅲ 클리니컬 리커버리 크림 50ML(25) 외캡 사출</v>
          </cell>
          <cell r="D121" t="str">
            <v>T5 시사출, 수정사항 확인 - DISC GATE 연결부 두께 보완 요청. (챔퍼 적용/금일 협의 내용 반영)
 - 내캡KEY조립 원형 리브에 GAS빼기(에어밴트) 추가 보완 요청.</v>
          </cell>
          <cell r="E121">
            <v>100</v>
          </cell>
          <cell r="F121">
            <v>45649</v>
          </cell>
          <cell r="G121" t="str">
            <v>SI1541</v>
          </cell>
          <cell r="H121" t="str">
            <v>A6801</v>
          </cell>
          <cell r="I121" t="str">
            <v>M241342_01</v>
          </cell>
          <cell r="J121" t="str">
            <v>PETG (SK케미칼 PN200)</v>
          </cell>
        </row>
        <row r="122">
          <cell r="A122" t="str">
            <v>SI1542_20241225</v>
          </cell>
          <cell r="B122">
            <v>45651</v>
          </cell>
          <cell r="C122" t="str">
            <v>아이오페 스템Ⅲ 클리니컬 리커버리 크림 50ML(25) 내캡 사출</v>
          </cell>
          <cell r="D122" t="str">
            <v>T5 시사출, 수정사항 확인, 감촉 스토퍼 높이 및 길이 0.2mm씩 돌출량 키움.</v>
          </cell>
          <cell r="E122">
            <v>100</v>
          </cell>
          <cell r="F122">
            <v>45651</v>
          </cell>
          <cell r="G122" t="str">
            <v>SI1542</v>
          </cell>
          <cell r="H122" t="str">
            <v>A6801</v>
          </cell>
          <cell r="I122" t="str">
            <v>M241343_01</v>
          </cell>
          <cell r="J122" t="str">
            <v>PP (롯데케미칼 J-560S)</v>
          </cell>
        </row>
        <row r="123">
          <cell r="A123" t="str">
            <v>SI1499_20241226</v>
          </cell>
          <cell r="B123">
            <v>45652</v>
          </cell>
          <cell r="C123" t="str">
            <v>설화수 자음생크림 퍼펙팅 리치 견 10ml 내캡 (25AD,  7556469)</v>
          </cell>
          <cell r="D123" t="str">
            <v>PCR 적용을 위한 테스트</v>
          </cell>
          <cell r="E123">
            <v>80</v>
          </cell>
          <cell r="F123">
            <v>45660</v>
          </cell>
          <cell r="G123" t="str">
            <v>SI1499</v>
          </cell>
          <cell r="J123" t="str">
            <v>CR PP(열분해유 기반 화학적 재활용 PP) 70% + PP (다원소재 DW-2360) 30% 혼합</v>
          </cell>
          <cell r="K123" t="str">
            <v>기존과 동일</v>
          </cell>
        </row>
        <row r="124">
          <cell r="A124" t="str">
            <v>SI1556_20241226</v>
          </cell>
          <cell r="B124">
            <v>45652</v>
          </cell>
          <cell r="C124" t="str">
            <v>설화수 자음생크림 퍼펙팅 리치 견 10ml 외캡 (25AD,  7556469)</v>
          </cell>
          <cell r="D124" t="str">
            <v>PCR 적용을 위한 테스트 -&gt; 장업 테스트 결과 보고 진행 예정</v>
          </cell>
          <cell r="E124">
            <v>100</v>
          </cell>
          <cell r="G124" t="str">
            <v>SI1556</v>
          </cell>
          <cell r="J124" t="str">
            <v>PCR ABS (롯데케미칼 GC-0755 50%)</v>
          </cell>
          <cell r="K124" t="str">
            <v>내츄럴</v>
          </cell>
        </row>
        <row r="125">
          <cell r="A125" t="str">
            <v>SI1558_20241227</v>
          </cell>
          <cell r="B125">
            <v>45653</v>
          </cell>
          <cell r="C125" t="str">
            <v>라보에이치 모발강화 트리트먼트 200ml 50파이 장식</v>
          </cell>
          <cell r="D125" t="str">
            <v>사출품질에 문제없는 범위에서 기존보다 외경 0.05~0.1 키워달라는 요청입니다</v>
          </cell>
          <cell r="E125">
            <v>200</v>
          </cell>
          <cell r="F125">
            <v>45646</v>
          </cell>
          <cell r="G125" t="str">
            <v>SI1558</v>
          </cell>
          <cell r="H125" t="str">
            <v>A6794</v>
          </cell>
          <cell r="I125" t="str">
            <v>M241331-01</v>
          </cell>
          <cell r="J125" t="str">
            <v>PP (롯데케미칼 J-560S)</v>
          </cell>
          <cell r="K125" t="str">
            <v>새로온 MB</v>
          </cell>
        </row>
        <row r="126">
          <cell r="A126" t="str">
            <v>_19000100</v>
          </cell>
          <cell r="D126" t="str">
            <v>라보 60ml 캡 찍은 뒤 장식 조립해보고 틈보이면 60ml 장식도 키워서 찍어야 할 수 있습니다</v>
          </cell>
        </row>
        <row r="127">
          <cell r="A127" t="str">
            <v>SI1519_20241227</v>
          </cell>
          <cell r="B127">
            <v>45653</v>
          </cell>
          <cell r="C127" t="str">
            <v>아이오페 슈퍼바이탈 크림 50ML(24EC 내용기</v>
          </cell>
          <cell r="D127" t="str">
            <v>2차 금형, 치수 주의</v>
          </cell>
          <cell r="E127">
            <v>200</v>
          </cell>
          <cell r="F127">
            <v>45659</v>
          </cell>
          <cell r="G127" t="str">
            <v>SI1519</v>
          </cell>
          <cell r="H127" t="str">
            <v>A6749</v>
          </cell>
          <cell r="I127" t="str">
            <v>M241150_01, M241158_02</v>
          </cell>
          <cell r="J127" t="str">
            <v>J560K </v>
          </cell>
          <cell r="K127" t="str">
            <v>SW240613-10</v>
          </cell>
        </row>
        <row r="128">
          <cell r="A128" t="str">
            <v>SI1519_20241227</v>
          </cell>
          <cell r="B128">
            <v>45653</v>
          </cell>
          <cell r="C128" t="str">
            <v>아이오페 슈퍼바이탈 크림 50ML(24EC 내용기</v>
          </cell>
          <cell r="D128" t="str">
            <v>1차 금형, 치수 주의, 2차 용기 치수에 맞출 것</v>
          </cell>
          <cell r="E128">
            <v>200</v>
          </cell>
          <cell r="F128">
            <v>45659</v>
          </cell>
          <cell r="G128" t="str">
            <v>SI1519</v>
          </cell>
          <cell r="H128" t="str">
            <v>A6749</v>
          </cell>
          <cell r="I128" t="str">
            <v>M241150_01, M241158_02</v>
          </cell>
          <cell r="J128" t="str">
            <v>J560K </v>
          </cell>
          <cell r="K128" t="str">
            <v>SW240613-10</v>
          </cell>
        </row>
        <row r="129">
          <cell r="A129" t="str">
            <v>SI1543_20241227</v>
          </cell>
          <cell r="B129">
            <v>45653</v>
          </cell>
          <cell r="C129" t="str">
            <v>아이오페 스템Ⅲ 클리니컬 리커버리 크림 50ML(25) 내용기</v>
          </cell>
          <cell r="D129" t="str">
            <v>메탈코팅 적용, 색상을 화이트나 그레이 중 의사결정해준다고 합니다. 확인되면 올리겠습니다</v>
          </cell>
          <cell r="E129">
            <v>200</v>
          </cell>
          <cell r="F129">
            <v>45662</v>
          </cell>
          <cell r="G129" t="str">
            <v>SI1543</v>
          </cell>
          <cell r="H129" t="str">
            <v>A6801</v>
          </cell>
          <cell r="I129" t="str">
            <v>M241341_01</v>
          </cell>
          <cell r="J129" t="str">
            <v>PP (롯데케미칼 J-560S)</v>
          </cell>
          <cell r="K129" t="str">
            <v>변경</v>
          </cell>
        </row>
        <row r="130">
          <cell r="A130" t="str">
            <v>_20241227</v>
          </cell>
          <cell r="B130">
            <v>45653</v>
          </cell>
          <cell r="C130" t="str">
            <v>한율 백화고 기미단크림 캡</v>
          </cell>
          <cell r="D130" t="str">
            <v>성주에서 외주 색상실험, 용기는 확정되었고 캡은 다시 내고 있습니다.</v>
          </cell>
        </row>
        <row r="131">
          <cell r="A131" t="str">
            <v>SI1519_20250102</v>
          </cell>
          <cell r="B131">
            <v>45659</v>
          </cell>
          <cell r="C131" t="str">
            <v>아이오페 슈퍼바이탈 크림 50ML(24EC 내용기</v>
          </cell>
          <cell r="D131" t="str">
            <v>1차 금형, 치수 주의, 테스트에서는 1,2차 구분없이 1차 내용기로 조립하랍니다</v>
          </cell>
          <cell r="E131">
            <v>400</v>
          </cell>
          <cell r="F131">
            <v>45660</v>
          </cell>
          <cell r="G131" t="str">
            <v>SI1519</v>
          </cell>
          <cell r="H131" t="str">
            <v>A6749</v>
          </cell>
          <cell r="I131" t="str">
            <v>M241150_01, M241158_02</v>
          </cell>
          <cell r="J131" t="str">
            <v>J560K </v>
          </cell>
          <cell r="K131" t="str">
            <v>SW240613-10</v>
          </cell>
        </row>
        <row r="132">
          <cell r="A132" t="str">
            <v>SI1541_20250106</v>
          </cell>
          <cell r="B132">
            <v>45663</v>
          </cell>
          <cell r="C132" t="str">
            <v>아이오페 스템Ⅲ 클리니컬 리커버리 크림 50ML(25) 외캡 사출</v>
          </cell>
          <cell r="D132" t="str">
            <v>내측 구배 확인 필요, 추출 시 스크래치 발생여부 확인 요망, 외관양호 시 150개 사출요청</v>
          </cell>
          <cell r="E132">
            <v>150</v>
          </cell>
          <cell r="F132">
            <v>45664</v>
          </cell>
          <cell r="G132" t="str">
            <v>SI1541</v>
          </cell>
          <cell r="H132" t="str">
            <v>A6801</v>
          </cell>
          <cell r="I132" t="str">
            <v>M241342_01</v>
          </cell>
          <cell r="J132" t="str">
            <v>PETG (SK케미칼 PN200)</v>
          </cell>
        </row>
        <row r="133">
          <cell r="A133" t="str">
            <v>SI1540_20250106</v>
          </cell>
          <cell r="B133">
            <v>45663</v>
          </cell>
          <cell r="C133" t="str">
            <v>아이오페 스템Ⅲ 클리니컬 리커버리 크림 50ML(25) 캡장식 사출</v>
          </cell>
          <cell r="D133" t="str">
            <v>외경 0.3 키움, 지나번보다 즉시규격 0.3 큰지 확인 요망, 증착loss감안해서 수량 요청</v>
          </cell>
          <cell r="E133">
            <v>200</v>
          </cell>
          <cell r="F133">
            <v>45664</v>
          </cell>
          <cell r="G133" t="str">
            <v>SI1540</v>
          </cell>
          <cell r="H133" t="str">
            <v>A6801</v>
          </cell>
          <cell r="I133" t="str">
            <v>M241344_01</v>
          </cell>
          <cell r="J133" t="str">
            <v>PETG (SK케미칼 PN200)</v>
          </cell>
          <cell r="K133" t="str">
            <v>증착사양</v>
          </cell>
        </row>
        <row r="134">
          <cell r="A134" t="str">
            <v>SI1560_20250106</v>
          </cell>
          <cell r="B134">
            <v>45663</v>
          </cell>
          <cell r="C134" t="str">
            <v>라보에이치 모발강화 트리트먼트 300ml 60파이 장식</v>
          </cell>
          <cell r="D134" t="str">
            <v>색상 실험</v>
          </cell>
          <cell r="E134">
            <v>150</v>
          </cell>
          <cell r="F134">
            <v>45646</v>
          </cell>
          <cell r="G134" t="str">
            <v>SI1560</v>
          </cell>
          <cell r="H134" t="str">
            <v>A6802</v>
          </cell>
          <cell r="I134" t="str">
            <v>M241335-01</v>
          </cell>
          <cell r="J134">
            <v>0</v>
          </cell>
          <cell r="K134" t="str">
            <v>DJ241230-03</v>
          </cell>
          <cell r="L134">
            <v>5</v>
          </cell>
        </row>
        <row r="135">
          <cell r="A135" t="str">
            <v>SI1568_20250108</v>
          </cell>
          <cell r="B135">
            <v>45665</v>
          </cell>
          <cell r="C135" t="str">
            <v>설화수 에센셜.퍼.탄력영양크림 75ML(21AD) 내캡</v>
          </cell>
          <cell r="D135" t="str">
            <v>색상 실험</v>
          </cell>
          <cell r="G135" t="str">
            <v>SI1568</v>
          </cell>
          <cell r="H135" t="str">
            <v>A6396</v>
          </cell>
          <cell r="I135" t="str">
            <v>M211167_01</v>
          </cell>
          <cell r="J135" t="str">
            <v>PP (다원소재 DW-2360)</v>
          </cell>
        </row>
        <row r="136">
          <cell r="A136" t="str">
            <v>SI1581_20250110</v>
          </cell>
          <cell r="B136">
            <v>45667</v>
          </cell>
          <cell r="C136" t="str">
            <v>설화수 자음수 퍼펙팅 EX 견35ML (25 AD)</v>
          </cell>
          <cell r="D136" t="str">
            <v>색상 실험</v>
          </cell>
          <cell r="G136" t="str">
            <v>SI1581</v>
          </cell>
          <cell r="H136" t="str">
            <v>A6228</v>
          </cell>
          <cell r="I136" t="str">
            <v>M201128</v>
          </cell>
          <cell r="J136">
            <v>0</v>
          </cell>
        </row>
        <row r="137">
          <cell r="A137" t="str">
            <v>SI1578_20250110</v>
          </cell>
          <cell r="B137">
            <v>45667</v>
          </cell>
          <cell r="C137" t="str">
            <v>설화수 탄력영양크림 EX 견5ML (25AD) 용기 사출</v>
          </cell>
          <cell r="D137" t="str">
            <v>색상 실험</v>
          </cell>
          <cell r="G137" t="str">
            <v>SI1578</v>
          </cell>
          <cell r="H137" t="str">
            <v>A6232</v>
          </cell>
          <cell r="I137" t="str">
            <v>M201153</v>
          </cell>
          <cell r="J137">
            <v>0</v>
          </cell>
        </row>
        <row r="138">
          <cell r="A138" t="str">
            <v>SI1577_20250110</v>
          </cell>
          <cell r="B138">
            <v>45667</v>
          </cell>
          <cell r="C138" t="str">
            <v>설화수 탄력영양크림 EX 견5ML (25AD) 캡</v>
          </cell>
          <cell r="D138" t="str">
            <v>색상 실험</v>
          </cell>
          <cell r="G138" t="str">
            <v>SI1577</v>
          </cell>
          <cell r="H138" t="str">
            <v>A6232</v>
          </cell>
          <cell r="I138" t="str">
            <v>M201150</v>
          </cell>
          <cell r="J138">
            <v>0</v>
          </cell>
        </row>
        <row r="139">
          <cell r="A139" t="str">
            <v>SI1569_20250110</v>
          </cell>
          <cell r="B139">
            <v>45667</v>
          </cell>
          <cell r="C139" t="str">
            <v>(수출)라네즈 유스콜라겐드링크 25ml*30EA 패키지변경 25AD 캡</v>
          </cell>
          <cell r="D139" t="str">
            <v>색상 실험</v>
          </cell>
          <cell r="G139" t="str">
            <v>SI1569</v>
          </cell>
          <cell r="H139" t="str">
            <v>A6542</v>
          </cell>
          <cell r="I139" t="str">
            <v>M231323_04</v>
          </cell>
          <cell r="J139" t="str">
            <v>HDPE (롯데케미칼 2200J)</v>
          </cell>
        </row>
        <row r="140">
          <cell r="A140" t="str">
            <v>SI1569_20250114</v>
          </cell>
          <cell r="B140">
            <v>45671</v>
          </cell>
          <cell r="C140" t="str">
            <v>(수출)라네즈 유스콜라겐드링크 25ml*30EA 패키지변경 25AD 캡</v>
          </cell>
          <cell r="D140" t="str">
            <v>게이트 주위 및 상단 웰드라인 등 불량 원인 파악 및 사출조건 조정</v>
          </cell>
          <cell r="F140">
            <v>45672</v>
          </cell>
          <cell r="G140" t="str">
            <v>SI1569</v>
          </cell>
          <cell r="H140" t="str">
            <v>A6542</v>
          </cell>
          <cell r="I140" t="str">
            <v>M231323_04</v>
          </cell>
          <cell r="J140" t="str">
            <v>HDPE (롯데케미칼 2200J)</v>
          </cell>
          <cell r="K140" t="str">
            <v>최근 MB</v>
          </cell>
        </row>
        <row r="141">
          <cell r="A141" t="str">
            <v>SI1579_20250114</v>
          </cell>
          <cell r="B141">
            <v>45671</v>
          </cell>
          <cell r="C141" t="str">
            <v>설화수 자음수 퍼펙팅 EX 시공품 5ML (25 AD)</v>
          </cell>
          <cell r="D141" t="str">
            <v>색상 실험</v>
          </cell>
          <cell r="G141" t="str">
            <v>SI1579</v>
          </cell>
          <cell r="H141" t="str">
            <v>A5919 A5745</v>
          </cell>
          <cell r="I141" t="str">
            <v>A100030</v>
          </cell>
          <cell r="J141">
            <v>0</v>
          </cell>
        </row>
        <row r="142">
          <cell r="A142" t="str">
            <v>SI1543_20250115</v>
          </cell>
          <cell r="B142">
            <v>45672</v>
          </cell>
          <cell r="C142" t="str">
            <v>아이오페 스템Ⅲ 클리니컬 리커버리 크림 50ML(25) 내용기</v>
          </cell>
          <cell r="D142" t="str">
            <v>색상 실험(메탈코팅 나라와 태가에 나눠 보낼 예정입니다)</v>
          </cell>
          <cell r="E142">
            <v>300</v>
          </cell>
          <cell r="F142">
            <v>45673</v>
          </cell>
          <cell r="G142" t="str">
            <v>SI1543</v>
          </cell>
          <cell r="H142" t="str">
            <v>A6801</v>
          </cell>
          <cell r="I142" t="str">
            <v>M241341_01</v>
          </cell>
          <cell r="J142" t="str">
            <v>PP (롯데케미칼 J-560S)</v>
          </cell>
          <cell r="K142" t="str">
            <v>DJ250113-5</v>
          </cell>
          <cell r="L142">
            <v>5</v>
          </cell>
        </row>
        <row r="143">
          <cell r="A143" t="str">
            <v>SI1590_20250116</v>
          </cell>
          <cell r="B143">
            <v>45673</v>
          </cell>
          <cell r="C143" t="str">
            <v>라네즈 시카슬리핑마스크 60ML (21AD 내용기</v>
          </cell>
          <cell r="D143" t="str">
            <v>색상 실험</v>
          </cell>
          <cell r="E143">
            <v>100</v>
          </cell>
          <cell r="F143">
            <v>45678</v>
          </cell>
          <cell r="G143" t="str">
            <v>SI1590</v>
          </cell>
          <cell r="H143" t="str">
            <v>A6229</v>
          </cell>
          <cell r="I143" t="str">
            <v>M241205_02</v>
          </cell>
          <cell r="J143" t="str">
            <v>PP (롯데케미칼 J-560S)</v>
          </cell>
        </row>
        <row r="144">
          <cell r="A144" t="str">
            <v>SI1591_20250116</v>
          </cell>
          <cell r="B144">
            <v>45673</v>
          </cell>
          <cell r="C144" t="str">
            <v>라네즈 워터슬리핑마스크 70ML (20AD 단캡</v>
          </cell>
          <cell r="D144" t="str">
            <v>색상 실험</v>
          </cell>
          <cell r="E144">
            <v>100</v>
          </cell>
          <cell r="F144">
            <v>45678</v>
          </cell>
          <cell r="G144" t="str">
            <v>SI1591</v>
          </cell>
          <cell r="H144" t="str">
            <v>A6205</v>
          </cell>
          <cell r="I144" t="str">
            <v>M201156_02,M201161_03</v>
          </cell>
          <cell r="J144" t="str">
            <v>PP (다원소재 DW-2360)</v>
          </cell>
        </row>
        <row r="145">
          <cell r="A145" t="str">
            <v>SI1592_20250116</v>
          </cell>
          <cell r="B145">
            <v>45673</v>
          </cell>
          <cell r="C145" t="str">
            <v>라네즈 워터슬리핑마스크 70ML (20AD 내용기</v>
          </cell>
          <cell r="D145" t="str">
            <v>색상 실험(그라데이션 코팅 나라와 태가에 나눠 보낼 예정입니다)</v>
          </cell>
          <cell r="E145">
            <v>400</v>
          </cell>
          <cell r="F145">
            <v>45678</v>
          </cell>
          <cell r="G145" t="str">
            <v>SI1592</v>
          </cell>
          <cell r="H145" t="str">
            <v>A6205</v>
          </cell>
          <cell r="I145" t="str">
            <v>M201158_02</v>
          </cell>
          <cell r="J145" t="str">
            <v>PP (롯데케미칼 J-560S)</v>
          </cell>
        </row>
        <row r="146">
          <cell r="A146" t="str">
            <v>SI1582_20250116</v>
          </cell>
          <cell r="B146">
            <v>45673</v>
          </cell>
          <cell r="C146" t="str">
            <v>미장센 헬로 젤리 팡팡 상용기(글로우쿠션 금형)</v>
          </cell>
          <cell r="D146" t="str">
            <v>색상 실험(상하용기 무광 코팅, 인쇄있습니다)</v>
          </cell>
          <cell r="E146">
            <v>300</v>
          </cell>
          <cell r="F146">
            <v>45674</v>
          </cell>
          <cell r="G146" t="str">
            <v>SI1582</v>
          </cell>
          <cell r="H146" t="str">
            <v>A6764</v>
          </cell>
          <cell r="I146" t="str">
            <v>M241190_02</v>
          </cell>
          <cell r="J146" t="str">
            <v>ABS (롯데첨단소재 MP-0670)</v>
          </cell>
        </row>
        <row r="147">
          <cell r="A147" t="str">
            <v>SI1583_20250116</v>
          </cell>
          <cell r="B147">
            <v>45673</v>
          </cell>
          <cell r="C147" t="str">
            <v>미장센 헬로 젤리 팡팡 하용기</v>
          </cell>
          <cell r="D147" t="str">
            <v>색상 실험(무광 코팅)</v>
          </cell>
          <cell r="E147">
            <v>200</v>
          </cell>
          <cell r="F147">
            <v>45674</v>
          </cell>
          <cell r="G147" t="str">
            <v>SI1583</v>
          </cell>
          <cell r="H147" t="str">
            <v>A6764</v>
          </cell>
          <cell r="I147" t="str">
            <v>M241191_02</v>
          </cell>
          <cell r="J147" t="str">
            <v>ABS (롯데첨단소재 MP-0670)</v>
          </cell>
        </row>
        <row r="148">
          <cell r="A148" t="str">
            <v>SI1584_20250116</v>
          </cell>
          <cell r="B148">
            <v>45673</v>
          </cell>
          <cell r="C148" t="str">
            <v>미장센 헬로 젤리 팡팡 리필 상용기</v>
          </cell>
          <cell r="D148" t="str">
            <v>색상 실험</v>
          </cell>
          <cell r="E148">
            <v>100</v>
          </cell>
          <cell r="F148">
            <v>45677</v>
          </cell>
          <cell r="G148" t="str">
            <v>SI1584</v>
          </cell>
          <cell r="H148" t="str">
            <v>A6764</v>
          </cell>
          <cell r="I148" t="str">
            <v>M241192_02</v>
          </cell>
          <cell r="J148" t="str">
            <v>LDPE (한화케미칼 5321) (30%)
PP (롯데케미칼 J-560S) (70%)</v>
          </cell>
        </row>
        <row r="149">
          <cell r="A149" t="str">
            <v>SI1585_20250116</v>
          </cell>
          <cell r="B149">
            <v>45673</v>
          </cell>
          <cell r="C149" t="str">
            <v>미장센 헬로 젤리 팡팡 리필 하용기</v>
          </cell>
          <cell r="D149" t="str">
            <v>색상 실험</v>
          </cell>
          <cell r="E149">
            <v>100</v>
          </cell>
          <cell r="F149">
            <v>45677</v>
          </cell>
          <cell r="G149" t="str">
            <v>SI1585</v>
          </cell>
          <cell r="H149" t="str">
            <v>A6764</v>
          </cell>
          <cell r="I149" t="str">
            <v>M241193_02</v>
          </cell>
          <cell r="J149" t="str">
            <v>PP (롯데케미칼 J-560S)</v>
          </cell>
        </row>
        <row r="150">
          <cell r="A150" t="str">
            <v>SI1557_20250116</v>
          </cell>
          <cell r="B150">
            <v>45673</v>
          </cell>
          <cell r="C150" t="str">
            <v>라보에이치 모발강화 트리트먼트 200ml 50파이 원터치캡</v>
          </cell>
          <cell r="D150" t="str">
            <v>T2 시사출, 아이팩 제품</v>
          </cell>
          <cell r="E150">
            <v>200</v>
          </cell>
          <cell r="F150"/>
          <cell r="G150" t="str">
            <v>SI1557</v>
          </cell>
          <cell r="H150" t="str">
            <v>A6794</v>
          </cell>
          <cell r="I150" t="str">
            <v>M241332-01</v>
          </cell>
          <cell r="J150" t="str">
            <v>PP (롯데케미칼 J-560S)</v>
          </cell>
        </row>
        <row r="151">
          <cell r="A151" t="str">
            <v>SI1558_20250120</v>
          </cell>
          <cell r="B151">
            <v>45677</v>
          </cell>
          <cell r="C151" t="str">
            <v>라보에이치 모발강화 트리트먼트 200ml 50파이 장식</v>
          </cell>
          <cell r="D151" t="str">
            <v>부식 확인 실험</v>
          </cell>
          <cell r="E151">
            <v>200</v>
          </cell>
          <cell r="F151"/>
          <cell r="G151" t="str">
            <v>SI1558</v>
          </cell>
          <cell r="H151" t="str">
            <v>A6794</v>
          </cell>
          <cell r="I151" t="str">
            <v>M241331-01</v>
          </cell>
          <cell r="J151" t="str">
            <v>PP (롯데케미칼 J-560S)</v>
          </cell>
        </row>
        <row r="152">
          <cell r="A152" t="str">
            <v>SI1560_20250120</v>
          </cell>
          <cell r="B152">
            <v>45677</v>
          </cell>
          <cell r="C152" t="str">
            <v>라보에이치 모발강화 트리트먼트 300ml 60파이 장식</v>
          </cell>
          <cell r="D152" t="str">
            <v>부식 확인 실험</v>
          </cell>
          <cell r="E152">
            <v>100</v>
          </cell>
          <cell r="F152"/>
          <cell r="G152" t="str">
            <v>SI1560</v>
          </cell>
          <cell r="H152" t="str">
            <v>A6802</v>
          </cell>
          <cell r="I152" t="str">
            <v>M241335-01</v>
          </cell>
          <cell r="J152">
            <v>0</v>
          </cell>
        </row>
        <row r="153">
          <cell r="A153" t="str">
            <v>SI1543_20250204</v>
          </cell>
          <cell r="B153">
            <v>45692</v>
          </cell>
          <cell r="C153" t="str">
            <v>아이오페 스템Ⅲ 클리니컬 리커버리 크림 50ML(25) 내용기</v>
          </cell>
          <cell r="D153" t="str">
            <v>색상실험, 도면치수맞게 사출</v>
          </cell>
          <cell r="E153">
            <v>300</v>
          </cell>
          <cell r="F153"/>
          <cell r="G153" t="str">
            <v>SI1543</v>
          </cell>
          <cell r="H153" t="str">
            <v>A6801</v>
          </cell>
          <cell r="I153" t="str">
            <v>M241341_01</v>
          </cell>
          <cell r="J153" t="str">
            <v>PP (롯데케미칼 J-560S)</v>
          </cell>
          <cell r="K153" t="str">
            <v>변경</v>
          </cell>
        </row>
        <row r="154">
          <cell r="A154" t="str">
            <v>SI1541_20250204</v>
          </cell>
          <cell r="B154">
            <v>45692</v>
          </cell>
          <cell r="C154" t="str">
            <v>아이오페 스템Ⅲ 클리니컬 리커버리 크림 50ML(25) 외캡 사출</v>
          </cell>
          <cell r="D154" t="str">
            <v>기능, 후가공테스트 40ea, 표견 20ea, 베르상스공유 20ea, 프리웍스 200ea</v>
          </cell>
          <cell r="E154">
            <v>300</v>
          </cell>
          <cell r="F154">
            <v>45694</v>
          </cell>
          <cell r="G154" t="str">
            <v>SI1541</v>
          </cell>
          <cell r="H154" t="str">
            <v>A6801</v>
          </cell>
          <cell r="I154" t="str">
            <v>M241342_01</v>
          </cell>
          <cell r="J154" t="str">
            <v>PETG (SK케미칼 PN200)</v>
          </cell>
        </row>
        <row r="155">
          <cell r="A155" t="str">
            <v>SI1540_20250204</v>
          </cell>
          <cell r="B155">
            <v>45692</v>
          </cell>
          <cell r="C155" t="str">
            <v>아이오페 스템Ⅲ 클리니컬 리커버리 크림 50ML(25) 캡장식 사출</v>
          </cell>
          <cell r="D155" t="str">
            <v>기능, 후가공테스트 40ea, 표견 20ea, 베르상스공유 20ea, 프리웍스 200ea</v>
          </cell>
          <cell r="E155">
            <v>400</v>
          </cell>
          <cell r="F155">
            <v>45694</v>
          </cell>
          <cell r="G155" t="str">
            <v>SI1540</v>
          </cell>
          <cell r="H155" t="str">
            <v>A6801</v>
          </cell>
          <cell r="I155" t="str">
            <v>M241344_01</v>
          </cell>
          <cell r="J155" t="str">
            <v>PETG (SK케미칼 PN200)</v>
          </cell>
          <cell r="M155" t="str">
            <v>장식은 증착 불량 감안해서 수량 넉넉히 찍는게 좋겠습니다.</v>
          </cell>
        </row>
        <row r="156">
          <cell r="A156" t="str">
            <v>SI1542_20250204</v>
          </cell>
          <cell r="B156">
            <v>45692</v>
          </cell>
          <cell r="C156" t="str">
            <v>아이오페 스템Ⅲ 클리니컬 리커버리 크림 50ML(25) 내캡 사출</v>
          </cell>
          <cell r="D156" t="str">
            <v>기능, 후가공테스트 40ea, 표견 20ea, 베르상스공유 20ea, 프리웍스 200ea</v>
          </cell>
          <cell r="E156">
            <v>400</v>
          </cell>
          <cell r="F156">
            <v>45694</v>
          </cell>
          <cell r="G156" t="str">
            <v>SI1542</v>
          </cell>
          <cell r="H156" t="str">
            <v>A6801</v>
          </cell>
          <cell r="I156" t="str">
            <v>M241343_01</v>
          </cell>
          <cell r="J156" t="str">
            <v>PP (롯데케미칼 J-560S)</v>
          </cell>
        </row>
        <row r="157">
          <cell r="A157" t="str">
            <v>SI1557_20250204</v>
          </cell>
          <cell r="B157">
            <v>45692</v>
          </cell>
          <cell r="C157" t="str">
            <v>라보에이치 모발강화 트리트먼트 200ml 50파이 원터치캡</v>
          </cell>
          <cell r="D157" t="str">
            <v>장식과 조립 시 뜨임 이슈로 금형 수정해서 들어옵니다. 수정확인용입니다.</v>
          </cell>
          <cell r="F157">
            <v>45693</v>
          </cell>
          <cell r="G157" t="str">
            <v>SI1557</v>
          </cell>
          <cell r="H157" t="str">
            <v>A6794</v>
          </cell>
          <cell r="I157" t="str">
            <v>M241332-01</v>
          </cell>
          <cell r="J157" t="str">
            <v>PP (롯데케미칼 J-560S)</v>
          </cell>
          <cell r="M157" t="str">
            <v>금형 입고되는대로 사출하면 됩니다.</v>
          </cell>
        </row>
        <row r="158">
          <cell r="A158" t="str">
            <v>SI1559_20250204</v>
          </cell>
          <cell r="B158">
            <v>45692</v>
          </cell>
          <cell r="C158" t="str">
            <v>라보에이치 모발강화 트리트먼트 300ml 60파이 원터치캡</v>
          </cell>
          <cell r="D158" t="str">
            <v>부식 확인 실험</v>
          </cell>
          <cell r="F158">
            <v>45693</v>
          </cell>
          <cell r="G158" t="str">
            <v>SI1559</v>
          </cell>
          <cell r="H158" t="str">
            <v>A6802</v>
          </cell>
          <cell r="I158" t="str">
            <v>M241336-01</v>
          </cell>
          <cell r="J158">
            <v>0</v>
          </cell>
          <cell r="M158" t="str">
            <v>금형 입고되는대로 사출하면 됩니다.</v>
          </cell>
        </row>
        <row r="159">
          <cell r="A159" t="str">
            <v>SI1569_20250204</v>
          </cell>
          <cell r="B159">
            <v>45692</v>
          </cell>
          <cell r="C159" t="str">
            <v>(수출)라네즈 유스콜라겐드링크 25ml*30EA 패키지변경 25AD 캡</v>
          </cell>
          <cell r="D159" t="str">
            <v>색상이 톤은 맞으나 채도가 더 낮았으면 좋겠다고 합니다. 색상실험 요청</v>
          </cell>
          <cell r="E159">
            <v>100</v>
          </cell>
          <cell r="F159"/>
          <cell r="G159" t="str">
            <v>SI1569</v>
          </cell>
          <cell r="H159" t="str">
            <v>A6542</v>
          </cell>
          <cell r="I159" t="str">
            <v>M231323_04</v>
          </cell>
          <cell r="J159" t="str">
            <v>HDPE (롯데케미칼 2200J)</v>
          </cell>
          <cell r="M159" t="str">
            <v>색상만 확인하는 용도로 수량 많이 필요 없습니다.</v>
          </cell>
        </row>
        <row r="160">
          <cell r="A160" t="str">
            <v>_20250204</v>
          </cell>
          <cell r="B160">
            <v>45692</v>
          </cell>
          <cell r="C160" t="str">
            <v>라네즈 바운시 60ML (21AD 내용기</v>
          </cell>
          <cell r="D160" t="str">
            <v>색상 실험, 치수확인</v>
          </cell>
          <cell r="E160">
            <v>100</v>
          </cell>
          <cell r="F160"/>
          <cell r="G160" t="str">
            <v/>
          </cell>
          <cell r="H160" t="str">
            <v/>
          </cell>
          <cell r="I160" t="str">
            <v/>
          </cell>
          <cell r="J160" t="str">
            <v/>
          </cell>
          <cell r="M160" t="str">
            <v>신금형</v>
          </cell>
        </row>
        <row r="161">
          <cell r="A161" t="str">
            <v>SI1591_20250204</v>
          </cell>
          <cell r="B161">
            <v>45692</v>
          </cell>
          <cell r="C161" t="str">
            <v>라네즈 워터슬리핑마스크 70ML (20AD 단캡</v>
          </cell>
          <cell r="D161" t="str">
            <v>색상 실험</v>
          </cell>
          <cell r="E161">
            <v>100</v>
          </cell>
          <cell r="F161"/>
          <cell r="G161" t="str">
            <v>SI1591</v>
          </cell>
          <cell r="H161" t="str">
            <v>A6205</v>
          </cell>
          <cell r="I161" t="str">
            <v>M201156_02,M201161_03</v>
          </cell>
          <cell r="J161" t="str">
            <v>PP (다원소재 DW-2360)</v>
          </cell>
          <cell r="M161" t="str">
            <v>냉각라인 문제로 금형 출고, 입고시 바로 사출 요망(2차)</v>
          </cell>
        </row>
        <row r="162">
          <cell r="A162" t="str">
            <v>SI1592_20250204</v>
          </cell>
          <cell r="B162">
            <v>45692</v>
          </cell>
          <cell r="C162" t="str">
            <v>라네즈 워터슬리핑마스크 70ML (20AD 내용기</v>
          </cell>
          <cell r="D162" t="str">
            <v>색상 실험, 치수확인</v>
          </cell>
          <cell r="E162">
            <v>400</v>
          </cell>
          <cell r="F162"/>
          <cell r="G162" t="str">
            <v>SI1592</v>
          </cell>
          <cell r="H162" t="str">
            <v>A6205</v>
          </cell>
          <cell r="I162" t="str">
            <v>M201158_02</v>
          </cell>
          <cell r="J162" t="str">
            <v>PP (롯데케미칼 J-560S)</v>
          </cell>
          <cell r="M162" t="str">
            <v>냉각라인 문제로 금형 출고, 입고시 바로 사출 요망</v>
          </cell>
        </row>
        <row r="163">
          <cell r="A163" t="str">
            <v>_20250205</v>
          </cell>
          <cell r="B163">
            <v>45693</v>
          </cell>
          <cell r="C163" t="str">
            <v>설화수 자음생크림 퍼펙팅 리치 견 10ml 외캡 (25AD,  7556469)</v>
          </cell>
          <cell r="D163" t="str">
            <v>증착 불량으로 다시 실험</v>
          </cell>
          <cell r="E163">
            <v>150</v>
          </cell>
          <cell r="F163"/>
          <cell r="G163" t="str">
            <v/>
          </cell>
          <cell r="H163" t="str">
            <v/>
          </cell>
          <cell r="I163" t="str">
            <v/>
          </cell>
          <cell r="J163" t="str">
            <v/>
          </cell>
          <cell r="K163" t="str">
            <v>내츄럴</v>
          </cell>
        </row>
        <row r="164">
          <cell r="A164" t="str">
            <v>SI1578_20250212</v>
          </cell>
          <cell r="B164">
            <v>45700</v>
          </cell>
          <cell r="C164" t="str">
            <v>설화수 탄력영양크림 EX 견5ML (25AD) 용기 사출</v>
          </cell>
          <cell r="D164" t="str">
            <v>표견용 - AP에서 인쇄 변경으로 다시 제출 요청함</v>
          </cell>
          <cell r="E164">
            <v>100</v>
          </cell>
          <cell r="G164" t="str">
            <v>SI1578</v>
          </cell>
          <cell r="H164" t="str">
            <v>A6232</v>
          </cell>
          <cell r="I164" t="str">
            <v>M201153</v>
          </cell>
          <cell r="J164">
            <v>0</v>
          </cell>
          <cell r="M164" t="str">
            <v>인쇄 품질, 변경 내용 확인 바람. 특히 글자가 두껍거나 얇거나 높낮이가 치우치면 안됨</v>
          </cell>
        </row>
        <row r="165">
          <cell r="A165" t="str">
            <v>_20250218</v>
          </cell>
          <cell r="B165">
            <v>45706</v>
          </cell>
          <cell r="C165" t="str">
            <v>판도라</v>
          </cell>
          <cell r="D165" t="str">
            <v>색상실험, 타겟참고해서 진행. MB입고 시 진행 요청, 필요시%별 샘플링</v>
          </cell>
          <cell r="E165">
            <v>50</v>
          </cell>
          <cell r="G165" t="str">
            <v/>
          </cell>
          <cell r="H165" t="str">
            <v/>
          </cell>
          <cell r="I165" t="str">
            <v/>
          </cell>
          <cell r="J165" t="str">
            <v/>
          </cell>
        </row>
        <row r="166">
          <cell r="A166" t="str">
            <v>SI1596_20250219</v>
          </cell>
          <cell r="B166">
            <v>45707</v>
          </cell>
          <cell r="C166" t="str">
            <v>라네즈 워터슬리핑마스크 70ML (20AD 외용기</v>
          </cell>
          <cell r="F166"/>
          <cell r="G166" t="str">
            <v>SI1596</v>
          </cell>
          <cell r="H166" t="str">
            <v>A6205</v>
          </cell>
          <cell r="I166" t="str">
            <v>M201159_02,M201160_03</v>
          </cell>
          <cell r="J166" t="str">
            <v>AS 82TR</v>
          </cell>
        </row>
        <row r="167">
          <cell r="A167" t="str">
            <v>SI1582_20250220</v>
          </cell>
          <cell r="B167">
            <v>45708</v>
          </cell>
          <cell r="C167" t="str">
            <v>미장센 헬로 젤리 팡팡 상용기(글로우쿠션 금형)</v>
          </cell>
          <cell r="D167" t="str">
            <v>색상 실험(상하용기 무광 코팅, 인쇄있습니다)</v>
          </cell>
          <cell r="E167">
            <v>300</v>
          </cell>
          <cell r="F167">
            <v>45713</v>
          </cell>
          <cell r="G167" t="str">
            <v>SI1582</v>
          </cell>
          <cell r="H167" t="str">
            <v>A6764</v>
          </cell>
          <cell r="I167" t="str">
            <v>M241190_02</v>
          </cell>
          <cell r="J167" t="str">
            <v>ABS (롯데첨단소재 MP-0670)</v>
          </cell>
          <cell r="M167" t="str">
            <v>수량은 프리웍스 있는지 확인해서 조정 가능합니다.</v>
          </cell>
        </row>
        <row r="168">
          <cell r="A168" t="str">
            <v>SI1583_20250220</v>
          </cell>
          <cell r="B168">
            <v>45708</v>
          </cell>
          <cell r="C168" t="str">
            <v>미장센 헬로 젤리 팡팡 하용기</v>
          </cell>
          <cell r="D168" t="str">
            <v>색상 실험(무광 코팅)</v>
          </cell>
          <cell r="E168">
            <v>200</v>
          </cell>
          <cell r="F168">
            <v>45713</v>
          </cell>
          <cell r="G168" t="str">
            <v>SI1583</v>
          </cell>
          <cell r="H168" t="str">
            <v>A6764</v>
          </cell>
          <cell r="I168" t="str">
            <v>M241191_02</v>
          </cell>
          <cell r="J168" t="str">
            <v>ABS (롯데첨단소재 MP-0670)</v>
          </cell>
        </row>
        <row r="169">
          <cell r="A169" t="str">
            <v>SI1584_20250220</v>
          </cell>
          <cell r="B169">
            <v>45708</v>
          </cell>
          <cell r="C169" t="str">
            <v>미장센 헬로 젤리 팡팡 리필 상용기</v>
          </cell>
          <cell r="D169" t="str">
            <v>색상 실험</v>
          </cell>
          <cell r="E169">
            <v>100</v>
          </cell>
          <cell r="F169">
            <v>45713</v>
          </cell>
          <cell r="G169" t="str">
            <v>SI1584</v>
          </cell>
          <cell r="H169" t="str">
            <v>A6764</v>
          </cell>
          <cell r="I169" t="str">
            <v>M241192_02</v>
          </cell>
          <cell r="J169" t="str">
            <v>LDPE (한화케미칼 5321) (30%)
PP (롯데케미칼 J-560S) (70%)</v>
          </cell>
        </row>
        <row r="170">
          <cell r="A170" t="str">
            <v>SI1585_20250220</v>
          </cell>
          <cell r="B170">
            <v>45708</v>
          </cell>
          <cell r="C170" t="str">
            <v>미장센 헬로 젤리 팡팡 리필 하용기</v>
          </cell>
          <cell r="D170" t="str">
            <v>색상 실험</v>
          </cell>
          <cell r="E170">
            <v>100</v>
          </cell>
          <cell r="F170">
            <v>45713</v>
          </cell>
          <cell r="G170" t="str">
            <v>SI1585</v>
          </cell>
          <cell r="H170" t="str">
            <v>A6764</v>
          </cell>
          <cell r="I170" t="str">
            <v>M241193_02</v>
          </cell>
          <cell r="J170" t="str">
            <v>PP (롯데케미칼 J-560S)</v>
          </cell>
        </row>
        <row r="171">
          <cell r="A171" t="str">
            <v>SI1542_20250220</v>
          </cell>
          <cell r="B171">
            <v>45708</v>
          </cell>
          <cell r="C171" t="str">
            <v>아이오페 스템Ⅲ 클리니컬 리커버리 크림 50ML(25) 내캡 사출</v>
          </cell>
          <cell r="D171" t="str">
            <v>기능, 후가공테스트 40ea, 표견 20ea, 베르상스공유 20ea, 프리웍스 200ea</v>
          </cell>
          <cell r="E171">
            <v>400</v>
          </cell>
          <cell r="F171">
            <v>45713</v>
          </cell>
          <cell r="G171" t="str">
            <v>SI1542</v>
          </cell>
          <cell r="H171" t="str">
            <v>A6801</v>
          </cell>
          <cell r="I171" t="str">
            <v>M241343_01</v>
          </cell>
          <cell r="J171" t="str">
            <v>PP (롯데케미칼 J-560S)</v>
          </cell>
        </row>
        <row r="172">
          <cell r="A172" t="str">
            <v>SI1543_20250220</v>
          </cell>
          <cell r="B172">
            <v>45708</v>
          </cell>
          <cell r="C172" t="str">
            <v>아이오페 스템Ⅲ 클리니컬 리커버리 크림 50ML(25) 내용기</v>
          </cell>
          <cell r="D172" t="str">
            <v>색상실험, 지난번 크게 사출한것에 맞춰 치수 확인할 것</v>
          </cell>
          <cell r="E172">
            <v>100</v>
          </cell>
          <cell r="F172">
            <v>45709</v>
          </cell>
          <cell r="G172" t="str">
            <v>SI1543</v>
          </cell>
          <cell r="H172" t="str">
            <v>A6801</v>
          </cell>
          <cell r="I172" t="str">
            <v>M241341_01</v>
          </cell>
          <cell r="J172" t="str">
            <v>PP (롯데케미칼 J-560S)</v>
          </cell>
          <cell r="M172" t="str">
            <v>금요일 사출-&gt; 월요일 아침차편 나라 이동-&gt; 화요일 아침차편 입고입니다.</v>
          </cell>
        </row>
        <row r="173">
          <cell r="A173" t="str">
            <v>_20250220</v>
          </cell>
          <cell r="B173">
            <v>45708</v>
          </cell>
          <cell r="C173" t="str">
            <v>목분 A, B, C</v>
          </cell>
          <cell r="E173">
            <v>100</v>
          </cell>
          <cell r="F173">
            <v>45722</v>
          </cell>
          <cell r="G173" t="str">
            <v/>
          </cell>
          <cell r="H173" t="str">
            <v/>
          </cell>
          <cell r="I173" t="str">
            <v/>
          </cell>
          <cell r="J173" t="str">
            <v/>
          </cell>
        </row>
        <row r="174">
          <cell r="A174" t="str">
            <v>SI1591_20250220</v>
          </cell>
          <cell r="B174">
            <v>45708</v>
          </cell>
          <cell r="C174" t="str">
            <v>라네즈 워터슬리핑마스크 70ML (20AD 단캡</v>
          </cell>
          <cell r="E174">
            <v>100</v>
          </cell>
          <cell r="F174">
            <v>45713</v>
          </cell>
          <cell r="G174" t="str">
            <v>SI1591</v>
          </cell>
          <cell r="H174" t="str">
            <v>A6205</v>
          </cell>
          <cell r="I174" t="str">
            <v>M201156_02,M201161_03</v>
          </cell>
          <cell r="J174" t="str">
            <v>PP (다원소재 DW-2360)</v>
          </cell>
          <cell r="M174" t="str">
            <v>3차 금형</v>
          </cell>
        </row>
        <row r="175">
          <cell r="A175" t="str">
            <v>SI1569_20250224</v>
          </cell>
          <cell r="B175">
            <v>45712</v>
          </cell>
          <cell r="C175" t="str">
            <v>(수출)라네즈 유스콜라겐드링크 25ml*30EA 패키지변경 25AD 캡</v>
          </cell>
          <cell r="D175" t="str">
            <v>확정된 색상으로 샘플 제작 - 후가공 제출, 표견 등</v>
          </cell>
          <cell r="E175">
            <v>100</v>
          </cell>
          <cell r="F175">
            <v>45715</v>
          </cell>
          <cell r="G175" t="str">
            <v>SI1569</v>
          </cell>
          <cell r="H175" t="str">
            <v>A6542</v>
          </cell>
          <cell r="I175" t="str">
            <v>M231323_04</v>
          </cell>
          <cell r="J175" t="str">
            <v>HDPE (롯데케미칼 2200J)</v>
          </cell>
        </row>
        <row r="176">
          <cell r="A176" t="str">
            <v>_20250224</v>
          </cell>
          <cell r="B176">
            <v>45712</v>
          </cell>
          <cell r="C176" t="str">
            <v>바뷰 슈퍼콜라겐 프래티넘-오버캡</v>
          </cell>
          <cell r="D176" t="str">
            <v>신제품 색상실험, 전상호님 타겟에 맞게 색상실험 요청</v>
          </cell>
          <cell r="E176">
            <v>100</v>
          </cell>
          <cell r="F176">
            <v>45715</v>
          </cell>
          <cell r="G176" t="str">
            <v/>
          </cell>
          <cell r="H176" t="str">
            <v/>
          </cell>
          <cell r="I176" t="str">
            <v/>
          </cell>
          <cell r="J176" t="str">
            <v/>
          </cell>
        </row>
        <row r="177">
          <cell r="A177" t="str">
            <v>SI1591_20250224</v>
          </cell>
          <cell r="B177">
            <v>45712</v>
          </cell>
          <cell r="C177" t="str">
            <v>라네즈 워터슬리핑마스크 70ML (20AD 단캡</v>
          </cell>
          <cell r="F177"/>
          <cell r="G177" t="str">
            <v>SI1591</v>
          </cell>
          <cell r="H177" t="str">
            <v>A6205</v>
          </cell>
          <cell r="I177" t="str">
            <v>M201156_02,M201161_03</v>
          </cell>
          <cell r="J177" t="str">
            <v>PP (다원소재 DW-2360)</v>
          </cell>
        </row>
        <row r="178">
          <cell r="A178" t="str">
            <v>SI1542_20250225</v>
          </cell>
          <cell r="B178">
            <v>45713</v>
          </cell>
          <cell r="C178" t="str">
            <v>아이오페 스템Ⅲ 클리니컬 리커버리 크림 50ML(25) 내캡 사출</v>
          </cell>
          <cell r="D178" t="str">
            <v>금형 수리 하단부 레핑 확인</v>
          </cell>
          <cell r="F178"/>
          <cell r="G178" t="str">
            <v>SI1542</v>
          </cell>
          <cell r="H178" t="str">
            <v>A6801</v>
          </cell>
          <cell r="I178" t="str">
            <v>M241343_01</v>
          </cell>
          <cell r="J178" t="str">
            <v>PP (롯데케미칼 J-560S)</v>
          </cell>
        </row>
        <row r="179">
          <cell r="A179" t="str">
            <v>SI1543_20250227</v>
          </cell>
          <cell r="B179">
            <v>45715</v>
          </cell>
          <cell r="C179" t="str">
            <v>아이오페 스템Ⅲ 클리니컬 리커버리 크림 50ML(25) 내용기</v>
          </cell>
          <cell r="D179" t="str">
            <v xml:space="preserve">5% 확정 </v>
          </cell>
          <cell r="E179">
            <v>300</v>
          </cell>
          <cell r="F179"/>
          <cell r="G179" t="str">
            <v>SI1543</v>
          </cell>
          <cell r="H179" t="str">
            <v>A6801</v>
          </cell>
          <cell r="I179" t="str">
            <v>M241341_01</v>
          </cell>
          <cell r="J179" t="str">
            <v>PP (롯데케미칼 J-560S)</v>
          </cell>
        </row>
        <row r="180">
          <cell r="A180" t="str">
            <v>0_20250305</v>
          </cell>
          <cell r="B180">
            <v>45721</v>
          </cell>
          <cell r="C180" t="str">
            <v>PET 사출핀</v>
          </cell>
          <cell r="D180" t="str">
            <v>J560S, POK 2가지로 사출</v>
          </cell>
          <cell r="E180">
            <v>200</v>
          </cell>
          <cell r="F180">
            <v>45723</v>
          </cell>
          <cell r="G180">
            <v>0</v>
          </cell>
          <cell r="H180" t="str">
            <v>A6795</v>
          </cell>
          <cell r="I180" t="str">
            <v>S241013_01</v>
          </cell>
          <cell r="J180" t="str">
            <v>PET (SK케미칼 Claro 200)</v>
          </cell>
          <cell r="K180" t="str">
            <v>2가지 원료 네츄럴</v>
          </cell>
        </row>
        <row r="181">
          <cell r="A181" t="str">
            <v>SI1595_20250305</v>
          </cell>
          <cell r="B181">
            <v>45721</v>
          </cell>
          <cell r="C181" t="str">
            <v>프리메라 더 핸드크림 미스트 20ml  케이스</v>
          </cell>
          <cell r="F181"/>
          <cell r="G181" t="str">
            <v>SI1595</v>
          </cell>
          <cell r="H181">
            <v>0</v>
          </cell>
          <cell r="I181" t="str">
            <v>M231269</v>
          </cell>
          <cell r="J181" t="str">
            <v>HDPE (롯데케미칼 2200J)</v>
          </cell>
        </row>
        <row r="182">
          <cell r="A182" t="str">
            <v>SI1578_20250306</v>
          </cell>
          <cell r="B182">
            <v>45722</v>
          </cell>
          <cell r="C182" t="str">
            <v>설화수 탄력영양크림 EX 견5ML (25AD) 용기 사출</v>
          </cell>
          <cell r="D182" t="str">
            <v>표견용 - AP에서 인쇄불량으로 다시 제출 요청함(단톡방 참조)</v>
          </cell>
          <cell r="E182">
            <v>100</v>
          </cell>
          <cell r="F182">
            <v>45723</v>
          </cell>
          <cell r="G182" t="str">
            <v>SI1578</v>
          </cell>
          <cell r="H182" t="str">
            <v>A6232</v>
          </cell>
          <cell r="I182" t="str">
            <v>M201153</v>
          </cell>
          <cell r="J182">
            <v>0</v>
          </cell>
        </row>
        <row r="183">
          <cell r="A183" t="str">
            <v>SI1597_20250307</v>
          </cell>
          <cell r="B183">
            <v>45723</v>
          </cell>
          <cell r="C183" t="str">
            <v>아모레 원터치캡 45파이</v>
          </cell>
          <cell r="D183" t="str">
            <v>아이팩 원터치캡</v>
          </cell>
          <cell r="F183"/>
          <cell r="G183" t="str">
            <v>SI1597</v>
          </cell>
          <cell r="H183" t="str">
            <v>A5226</v>
          </cell>
          <cell r="I183" t="str">
            <v>A160222</v>
          </cell>
          <cell r="J183" t="str">
            <v>PP (롯데케미칼 JH570S)</v>
          </cell>
        </row>
        <row r="184">
          <cell r="A184" t="str">
            <v>SI1577_20250317</v>
          </cell>
          <cell r="B184">
            <v>45733</v>
          </cell>
          <cell r="C184" t="str">
            <v>설화수 탄력영양크림 EX 견5ML (25AD) 캡</v>
          </cell>
          <cell r="D184" t="str">
            <v>표견에 맞게 색상 조정</v>
          </cell>
          <cell r="E184">
            <v>100</v>
          </cell>
          <cell r="F184" t="str">
            <v>3월 21일</v>
          </cell>
          <cell r="G184" t="str">
            <v>SI1577</v>
          </cell>
          <cell r="H184" t="str">
            <v>A6232</v>
          </cell>
          <cell r="I184" t="str">
            <v>M201150</v>
          </cell>
          <cell r="J184">
            <v>0</v>
          </cell>
        </row>
        <row r="185">
          <cell r="A185" t="str">
            <v>SI1464_20250317</v>
          </cell>
          <cell r="B185">
            <v>45733</v>
          </cell>
          <cell r="C185" t="str">
            <v>프리메라 더 핸드크림 미스트 20ml 케이스(용기장식) 1299 중케이스</v>
          </cell>
          <cell r="D185" t="str">
            <v>색상실험</v>
          </cell>
          <cell r="E185">
            <v>50</v>
          </cell>
          <cell r="G185" t="str">
            <v>SI1464</v>
          </cell>
          <cell r="I185" t="str">
            <v>M231269</v>
          </cell>
        </row>
        <row r="186">
          <cell r="A186" t="str">
            <v>SI1596_20250318</v>
          </cell>
          <cell r="B186">
            <v>45734</v>
          </cell>
          <cell r="C186" t="str">
            <v>라네즈 워터슬리핑마스크 70ML (20AD 외용기</v>
          </cell>
          <cell r="D186" t="str">
            <v>워슬마와 바운시 코팅 실험 위해 수량 필요</v>
          </cell>
          <cell r="E186">
            <v>400</v>
          </cell>
          <cell r="F186" t="str">
            <v>3월 21일</v>
          </cell>
          <cell r="G186" t="str">
            <v>SI1596</v>
          </cell>
          <cell r="H186" t="str">
            <v>A6205</v>
          </cell>
          <cell r="I186" t="str">
            <v>M201159_02,M201160_03</v>
          </cell>
          <cell r="J186" t="str">
            <v>AS 82TR</v>
          </cell>
        </row>
        <row r="187">
          <cell r="A187" t="str">
            <v>SI1560_20250321</v>
          </cell>
          <cell r="B187">
            <v>45737</v>
          </cell>
          <cell r="C187" t="str">
            <v>라보에이치 모발강화 트리트먼트 300ml 60파이 장식</v>
          </cell>
          <cell r="D187" t="str">
            <v>수정 확인</v>
          </cell>
          <cell r="F187"/>
          <cell r="G187" t="str">
            <v>SI1560</v>
          </cell>
          <cell r="H187" t="str">
            <v>A6802</v>
          </cell>
          <cell r="I187" t="str">
            <v>M241335-01</v>
          </cell>
          <cell r="J187">
            <v>0</v>
          </cell>
        </row>
        <row r="188">
          <cell r="A188" t="str">
            <v>SI1558_20250321</v>
          </cell>
          <cell r="B188">
            <v>45737</v>
          </cell>
          <cell r="C188" t="str">
            <v>라보에이치 모발강화 트리트먼트 200ml 50파이 장식</v>
          </cell>
          <cell r="D188" t="str">
            <v>수정 확인</v>
          </cell>
          <cell r="F188"/>
          <cell r="G188" t="str">
            <v>SI1558</v>
          </cell>
          <cell r="H188" t="str">
            <v>A6794</v>
          </cell>
          <cell r="I188" t="str">
            <v>M241331-01</v>
          </cell>
          <cell r="J188" t="str">
            <v>PP (롯데케미칼 J-560S)</v>
          </cell>
        </row>
        <row r="189">
          <cell r="A189" t="str">
            <v>SI1591_20250324</v>
          </cell>
          <cell r="B189">
            <v>45740</v>
          </cell>
          <cell r="C189" t="str">
            <v>라네즈 워터슬리핑마스크 70ML (20AD 단캡</v>
          </cell>
          <cell r="D189" t="str">
            <v>색상실험</v>
          </cell>
          <cell r="F189"/>
          <cell r="G189" t="str">
            <v>SI1591</v>
          </cell>
          <cell r="H189" t="str">
            <v>A6205</v>
          </cell>
          <cell r="I189" t="str">
            <v>M201156_02,M201161_03</v>
          </cell>
          <cell r="J189" t="str">
            <v>PP (다원소재 DW-2360)</v>
          </cell>
          <cell r="K189" t="str">
            <v>DG250320(X-82)</v>
          </cell>
        </row>
        <row r="190">
          <cell r="A190" t="str">
            <v>_20250327</v>
          </cell>
          <cell r="B190">
            <v>45743</v>
          </cell>
          <cell r="C190" t="str">
            <v>라네즈 바운시 60ML (20AD 단캡</v>
          </cell>
          <cell r="D190" t="str">
            <v>색상실험 - MB(기진행 됨), 컴파운딩</v>
          </cell>
          <cell r="F190"/>
          <cell r="G190" t="str">
            <v/>
          </cell>
          <cell r="H190" t="str">
            <v/>
          </cell>
          <cell r="I190" t="str">
            <v/>
          </cell>
          <cell r="J190" t="str">
            <v/>
          </cell>
        </row>
        <row r="191">
          <cell r="A191" t="str">
            <v>0_20250327</v>
          </cell>
          <cell r="B191">
            <v>45743</v>
          </cell>
          <cell r="C191" t="str">
            <v>PET 사출핀</v>
          </cell>
          <cell r="D191" t="str">
            <v>PP로만 사출 요청, 제품명 수정 요청(사출힌지)</v>
          </cell>
          <cell r="E191">
            <v>50</v>
          </cell>
          <cell r="F191">
            <v>45747</v>
          </cell>
          <cell r="G191">
            <v>0</v>
          </cell>
          <cell r="H191" t="str">
            <v>A6795</v>
          </cell>
          <cell r="I191" t="str">
            <v>S241013_01</v>
          </cell>
          <cell r="J191" t="str">
            <v>PP</v>
          </cell>
        </row>
        <row r="192">
          <cell r="A192" t="str">
            <v>SI1599_20250327</v>
          </cell>
          <cell r="B192">
            <v>45743</v>
          </cell>
          <cell r="C192" t="str">
            <v>라네즈 바운시슬리핑마스크 70ML (20AD 내용기</v>
          </cell>
          <cell r="D192" t="str">
            <v>색상 실험, 제품명 수정 요청(바운시)</v>
          </cell>
          <cell r="E192">
            <v>100</v>
          </cell>
          <cell r="F192">
            <v>45748</v>
          </cell>
          <cell r="G192" t="str">
            <v>SI1599</v>
          </cell>
          <cell r="H192" t="str">
            <v>A6205</v>
          </cell>
          <cell r="I192" t="str">
            <v>M201158_02</v>
          </cell>
          <cell r="J192" t="str">
            <v>PP (롯데케미칼 J-560S)</v>
          </cell>
        </row>
        <row r="193">
          <cell r="A193" t="str">
            <v>SI1578_20250327</v>
          </cell>
          <cell r="B193">
            <v>45743</v>
          </cell>
          <cell r="C193" t="str">
            <v>설화수 탄력영양크림 EX 견5ML (25AD) 용기 사출</v>
          </cell>
          <cell r="D193" t="str">
            <v>표견용 - AP에서 인쇄불량으로 다시 제출 요청함</v>
          </cell>
          <cell r="E193">
            <v>100</v>
          </cell>
          <cell r="F193"/>
          <cell r="G193" t="str">
            <v>SI1578</v>
          </cell>
          <cell r="H193" t="str">
            <v>A6232</v>
          </cell>
          <cell r="I193" t="str">
            <v>M201153</v>
          </cell>
          <cell r="J193">
            <v>0</v>
          </cell>
        </row>
        <row r="194">
          <cell r="A194" t="str">
            <v>SI1560_20250327</v>
          </cell>
          <cell r="B194">
            <v>45743</v>
          </cell>
          <cell r="C194" t="str">
            <v>라보에이치 모발강화 트리트먼트 300ml 60파이 장식</v>
          </cell>
          <cell r="D194" t="str">
            <v>부식 확인 실험</v>
          </cell>
          <cell r="E194">
            <v>100</v>
          </cell>
          <cell r="F194"/>
          <cell r="G194" t="str">
            <v>SI1560</v>
          </cell>
          <cell r="H194" t="str">
            <v>A6802</v>
          </cell>
          <cell r="I194" t="str">
            <v>M241335-01</v>
          </cell>
          <cell r="J194">
            <v>0</v>
          </cell>
        </row>
        <row r="195">
          <cell r="A195" t="str">
            <v>_20250327</v>
          </cell>
          <cell r="B195">
            <v>45743</v>
          </cell>
          <cell r="C195" t="str">
            <v>덴트롤 딥 클리 박하 솔트 샴프 180ml 원터치캡</v>
          </cell>
          <cell r="D195" t="str">
            <v>이성현님 색상실험-보라색, 타겟있음-색상 동일하면 100개, 다르면 50개</v>
          </cell>
          <cell r="E195">
            <v>100</v>
          </cell>
          <cell r="F195" t="str">
            <v>4월2일</v>
          </cell>
          <cell r="G195" t="str">
            <v/>
          </cell>
          <cell r="H195" t="str">
            <v/>
          </cell>
          <cell r="I195" t="str">
            <v/>
          </cell>
          <cell r="J195" t="str">
            <v/>
          </cell>
        </row>
        <row r="196">
          <cell r="A196" t="str">
            <v>_20250327</v>
          </cell>
          <cell r="B196">
            <v>45743</v>
          </cell>
          <cell r="C196" t="str">
            <v>설화수 자음수 150ml 외캡, 내캡</v>
          </cell>
          <cell r="D196" t="str">
            <v>키잡이 금형 수정 확인, 표견샘플 - 대동에서 금형 수정한 것 샘플 제출 필요</v>
          </cell>
          <cell r="E196">
            <v>100</v>
          </cell>
          <cell r="F196" t="str">
            <v>4월3일</v>
          </cell>
          <cell r="G196" t="str">
            <v/>
          </cell>
          <cell r="H196" t="str">
            <v/>
          </cell>
          <cell r="I196" t="str">
            <v/>
          </cell>
          <cell r="J196" t="str">
            <v/>
          </cell>
        </row>
        <row r="197">
          <cell r="A197" t="str">
            <v>_20250327</v>
          </cell>
          <cell r="B197">
            <v>45743</v>
          </cell>
          <cell r="C197" t="str">
            <v>25ml 단캡</v>
          </cell>
          <cell r="D197" t="str">
            <v>손보배님이 25ml 견본캡을 MB4C로 홀리츄얼 내캡과 같은 색상으로 제품낸다고 샘플 요청, 일정은 여유 있음 MB4C 저광소재 PP로 사출 요청</v>
          </cell>
          <cell r="E197">
            <v>100</v>
          </cell>
          <cell r="G197" t="str">
            <v/>
          </cell>
          <cell r="H197" t="str">
            <v/>
          </cell>
          <cell r="I197" t="str">
            <v/>
          </cell>
          <cell r="J197" t="str">
            <v/>
          </cell>
        </row>
        <row r="198">
          <cell r="A198" t="str">
            <v>SI1579_20250331</v>
          </cell>
          <cell r="B198">
            <v>45747</v>
          </cell>
          <cell r="C198" t="str">
            <v>설화수 자음수 퍼펙팅 EX 시공품 5ML (25 AD)</v>
          </cell>
          <cell r="D198" t="str">
            <v>색상 실험-대동MB 도착하면 바로 실험</v>
          </cell>
          <cell r="F198"/>
          <cell r="G198" t="str">
            <v>SI1579</v>
          </cell>
          <cell r="H198" t="str">
            <v>A5919 A5745</v>
          </cell>
          <cell r="I198" t="str">
            <v>A100030</v>
          </cell>
          <cell r="J198">
            <v>0</v>
          </cell>
        </row>
        <row r="199">
          <cell r="A199" t="str">
            <v>_20250331</v>
          </cell>
          <cell r="B199">
            <v>45747</v>
          </cell>
          <cell r="C199" t="str">
            <v>판도라</v>
          </cell>
          <cell r="D199" t="str">
            <v>판도라 - 색상실험(타겟도착-mb맞춰서 실험해야 함)</v>
          </cell>
          <cell r="E199">
            <v>50</v>
          </cell>
          <cell r="F199"/>
          <cell r="G199" t="str">
            <v/>
          </cell>
          <cell r="H199" t="str">
            <v/>
          </cell>
          <cell r="I199" t="str">
            <v/>
          </cell>
          <cell r="J199" t="str">
            <v/>
          </cell>
        </row>
        <row r="200">
          <cell r="A200" t="str">
            <v>_20250329</v>
          </cell>
          <cell r="B200">
            <v>45745</v>
          </cell>
          <cell r="C200" t="str">
            <v>목분 테스트 30% 50%</v>
          </cell>
          <cell r="D200" t="str">
            <v>설화수자음생60ml 외캡/외용기, 아이오페 쿠션 상하용기, 홀리츄얼 외캡 - 이것으로 해달라기 보다는 이런 두께 용도의 금형으로 테스트 했으면 합니다. 금형 확정 및 일정 확정 필요합니다. 감사합니다.</v>
          </cell>
          <cell r="G200" t="str">
            <v/>
          </cell>
          <cell r="H200" t="str">
            <v/>
          </cell>
          <cell r="I200" t="str">
            <v/>
          </cell>
          <cell r="J200" t="str">
            <v/>
          </cell>
        </row>
        <row r="201">
          <cell r="A201" t="str">
            <v>SI1595_20250401</v>
          </cell>
          <cell r="B201">
            <v>45748</v>
          </cell>
          <cell r="C201" t="str">
            <v>프리메라 더 핸드크림 미스트 20ml  케이스</v>
          </cell>
          <cell r="D201" t="str">
            <v>KS25-0314-14</v>
          </cell>
          <cell r="F201">
            <v>45749</v>
          </cell>
          <cell r="G201" t="str">
            <v>SI1595</v>
          </cell>
          <cell r="H201">
            <v>0</v>
          </cell>
          <cell r="I201" t="str">
            <v>M231269</v>
          </cell>
          <cell r="J201" t="str">
            <v>HDPE (롯데케미칼 2200J)</v>
          </cell>
        </row>
        <row r="202">
          <cell r="A202" t="str">
            <v>SI1600_20250402</v>
          </cell>
          <cell r="B202">
            <v>45749</v>
          </cell>
          <cell r="C202" t="str">
            <v>미쟝센 퍼펙트 오일 인퓨전 헤어 마스크150g(25 단캡</v>
          </cell>
          <cell r="D202" t="str">
            <v>T1 수축 확인해야 함, 조건으로 안되면 금형 수정예정</v>
          </cell>
          <cell r="E202">
            <v>50</v>
          </cell>
          <cell r="F202"/>
          <cell r="G202" t="str">
            <v>SI1600</v>
          </cell>
          <cell r="H202" t="str">
            <v>A6849</v>
          </cell>
          <cell r="I202" t="str">
            <v>M251058_01</v>
          </cell>
          <cell r="J202" t="str">
            <v>PP (롯데케미칼 J-560S)</v>
          </cell>
        </row>
        <row r="203">
          <cell r="A203" t="str">
            <v>SI1601_20250402</v>
          </cell>
          <cell r="B203">
            <v>45749</v>
          </cell>
          <cell r="C203" t="str">
            <v>미쟝센 퍼펙트 오일 인퓨전 헤어 마스크150g(25 단용기</v>
          </cell>
          <cell r="D203" t="str">
            <v>T1</v>
          </cell>
          <cell r="E203">
            <v>50</v>
          </cell>
          <cell r="F203"/>
          <cell r="G203" t="str">
            <v>SI1601</v>
          </cell>
          <cell r="H203" t="str">
            <v>A6849</v>
          </cell>
          <cell r="I203" t="str">
            <v>M251059_01</v>
          </cell>
          <cell r="J203" t="str">
            <v>PP (롯데케미칼 J-560S)</v>
          </cell>
        </row>
        <row r="204">
          <cell r="A204" t="str">
            <v>SI1598_20250408</v>
          </cell>
          <cell r="B204">
            <v>45755</v>
          </cell>
          <cell r="C204" t="str">
            <v>라네즈 바운시슬리핑마스크 70ML (20AD 단캡</v>
          </cell>
          <cell r="D204" t="str">
            <v>색상 실험 및 다원 원료 실험</v>
          </cell>
          <cell r="F204"/>
          <cell r="G204" t="str">
            <v>SI1598</v>
          </cell>
          <cell r="H204" t="str">
            <v>A6205</v>
          </cell>
          <cell r="I204" t="str">
            <v>M201156_02,M201161_03</v>
          </cell>
          <cell r="J204" t="str">
            <v>PP (다원소재 DW-2360)</v>
          </cell>
        </row>
        <row r="205">
          <cell r="A205" t="str">
            <v>SI1559_20250409</v>
          </cell>
          <cell r="B205">
            <v>45756</v>
          </cell>
          <cell r="C205" t="str">
            <v>라보에이치 모발강화 트리트먼트 300ml 60파이 원터치캡</v>
          </cell>
          <cell r="D205" t="str">
            <v>아이팩 라인테스트 및 후가공테스트 용 필요수량 100개, 표견용도 활용</v>
          </cell>
          <cell r="E205">
            <v>150</v>
          </cell>
          <cell r="F205">
            <v>45693</v>
          </cell>
          <cell r="G205" t="str">
            <v>SI1559</v>
          </cell>
          <cell r="H205" t="str">
            <v>A6802</v>
          </cell>
          <cell r="I205" t="str">
            <v>M241336-01</v>
          </cell>
          <cell r="J205">
            <v>0</v>
          </cell>
        </row>
        <row r="206">
          <cell r="A206" t="str">
            <v>SI1591_20250409</v>
          </cell>
          <cell r="B206">
            <v>45756</v>
          </cell>
          <cell r="C206" t="str">
            <v>라네즈 워터슬리핑마스크 70ML (20AD 단캡</v>
          </cell>
          <cell r="D206" t="str">
            <v>후가공테스트, 표견용 및 후가공 2원화 샘플링용</v>
          </cell>
          <cell r="E206">
            <v>200</v>
          </cell>
          <cell r="F206">
            <v>45758</v>
          </cell>
          <cell r="G206" t="str">
            <v>SI1591</v>
          </cell>
          <cell r="H206" t="str">
            <v>A6205</v>
          </cell>
          <cell r="I206" t="str">
            <v>M201156_02,M201161_03</v>
          </cell>
          <cell r="J206" t="str">
            <v>PP (다원소재 DW-2360)</v>
          </cell>
        </row>
        <row r="207">
          <cell r="A207" t="str">
            <v>SI1595_20250418</v>
          </cell>
          <cell r="B207">
            <v>45765</v>
          </cell>
          <cell r="C207" t="str">
            <v>프리메라 더 핸드크림 미스트 20ml  케이스</v>
          </cell>
          <cell r="D207" t="str">
            <v>색상 실험</v>
          </cell>
          <cell r="E207">
            <v>100</v>
          </cell>
          <cell r="G207" t="str">
            <v>SI1595</v>
          </cell>
          <cell r="H207">
            <v>0</v>
          </cell>
          <cell r="I207" t="str">
            <v>M231269</v>
          </cell>
          <cell r="J207" t="str">
            <v>HDPE (롯데케미칼 2200J)</v>
          </cell>
        </row>
        <row r="208">
          <cell r="A208" t="str">
            <v>_20250415</v>
          </cell>
          <cell r="B208">
            <v>45762</v>
          </cell>
          <cell r="C208" t="str">
            <v>바뷰 슈퍼콜라겐 프래티넘-오버캡</v>
          </cell>
          <cell r="D208" t="str">
            <v>신제품 색상실험, A-4%로 컨펌했으나 다시 2%, 3% 색상내달라고 하심</v>
          </cell>
          <cell r="E208">
            <v>100</v>
          </cell>
          <cell r="F208">
            <v>45764</v>
          </cell>
          <cell r="G208" t="str">
            <v/>
          </cell>
          <cell r="H208" t="str">
            <v/>
          </cell>
          <cell r="I208" t="str">
            <v/>
          </cell>
          <cell r="J208" t="str">
            <v/>
          </cell>
        </row>
        <row r="209">
          <cell r="A209" t="str">
            <v>SI1559_20250415</v>
          </cell>
          <cell r="B209">
            <v>45762</v>
          </cell>
          <cell r="C209" t="str">
            <v>라보에이치 모발강화 트리트먼트 300ml 60파이 원터치캡</v>
          </cell>
          <cell r="D209" t="str">
            <v>열림강도 때문에 다시 사출, 아이팩에도 보내고 표견도 만들어야 함</v>
          </cell>
          <cell r="E209">
            <v>150</v>
          </cell>
          <cell r="F209">
            <v>45765</v>
          </cell>
          <cell r="G209" t="str">
            <v>SI1559</v>
          </cell>
          <cell r="H209" t="str">
            <v>A6802</v>
          </cell>
          <cell r="I209" t="str">
            <v>M241336-01</v>
          </cell>
          <cell r="J209">
            <v>0</v>
          </cell>
        </row>
        <row r="210">
          <cell r="A210" t="str">
            <v>SI1579_20250415</v>
          </cell>
          <cell r="B210">
            <v>45762</v>
          </cell>
          <cell r="C210" t="str">
            <v>설화수 자음수 퍼펙팅 EX 시공품 5ML (25 AD)</v>
          </cell>
          <cell r="D210" t="str">
            <v>색상 실험-현재MB에서 펄함량 조금 up</v>
          </cell>
          <cell r="E210">
            <v>200</v>
          </cell>
          <cell r="G210" t="str">
            <v>SI1579</v>
          </cell>
          <cell r="H210" t="str">
            <v>A5919 A5745</v>
          </cell>
          <cell r="I210" t="str">
            <v>A100030</v>
          </cell>
          <cell r="J210">
            <v>0</v>
          </cell>
        </row>
        <row r="211">
          <cell r="A211" t="str">
            <v>SI1600_20250416</v>
          </cell>
          <cell r="B211">
            <v>45763</v>
          </cell>
          <cell r="C211" t="str">
            <v>미쟝센 퍼펙트 오일 인퓨전 헤어 마스크150g(25 단캡</v>
          </cell>
          <cell r="D211" t="str">
            <v>T2 실험, 수정사항 점검 용 * DW2360도 색상 맞춰서 같이 실험(30ea)</v>
          </cell>
          <cell r="E211">
            <v>200</v>
          </cell>
          <cell r="F211">
            <v>45768</v>
          </cell>
          <cell r="G211" t="str">
            <v>SI1600</v>
          </cell>
          <cell r="H211" t="str">
            <v>A6849</v>
          </cell>
          <cell r="I211" t="str">
            <v>M251058_01</v>
          </cell>
          <cell r="J211" t="str">
            <v>PP (롯데케미칼 J-560S)</v>
          </cell>
        </row>
        <row r="212">
          <cell r="A212" t="str">
            <v>SI1601_20250417</v>
          </cell>
          <cell r="B212">
            <v>45764</v>
          </cell>
          <cell r="C212" t="str">
            <v>미쟝센 퍼펙트 오일 인퓨전 헤어 마스크150g(25 단용기</v>
          </cell>
          <cell r="D212" t="str">
            <v>담당자가 기능테스트(30) 및 라인테스트용(100+α)로 사출요청</v>
          </cell>
          <cell r="E212">
            <v>200</v>
          </cell>
          <cell r="F212">
            <v>45768</v>
          </cell>
          <cell r="G212" t="str">
            <v>SI1601</v>
          </cell>
          <cell r="H212" t="str">
            <v>A6849</v>
          </cell>
          <cell r="I212" t="str">
            <v>M251059_01</v>
          </cell>
          <cell r="J212" t="str">
            <v>PP (롯데케미칼 J-560S)</v>
          </cell>
        </row>
        <row r="213">
          <cell r="A213" t="str">
            <v>_20250418</v>
          </cell>
          <cell r="B213">
            <v>45765</v>
          </cell>
          <cell r="C213" t="str">
            <v>판도라 캡</v>
          </cell>
          <cell r="D213" t="str">
            <v>확정된 용기 색상에 맞춰 사출, 용기와 캡 유해물질 테스트 송부용 수량 필요</v>
          </cell>
          <cell r="E213">
            <v>50</v>
          </cell>
          <cell r="F213">
            <v>45769</v>
          </cell>
          <cell r="G213" t="str">
            <v/>
          </cell>
          <cell r="H213" t="str">
            <v/>
          </cell>
          <cell r="I213" t="str">
            <v/>
          </cell>
          <cell r="J213" t="str">
            <v/>
          </cell>
        </row>
        <row r="214">
          <cell r="A214" t="str">
            <v>_19000100</v>
          </cell>
          <cell r="B214"/>
          <cell r="D214" t="str">
            <v xml:space="preserve">목분 사출 4월 중 진행할 수 있도록 고민해주세요. </v>
          </cell>
          <cell r="G214" t="str">
            <v/>
          </cell>
          <cell r="H214" t="str">
            <v/>
          </cell>
          <cell r="I214" t="str">
            <v/>
          </cell>
          <cell r="J214" t="str">
            <v/>
          </cell>
        </row>
        <row r="215">
          <cell r="A215" t="str">
            <v>_19000100</v>
          </cell>
          <cell r="D215" t="str">
            <v>라네즈 워슬마 캡 태가에 보낼 것 언제 사출할지 고민해주세요</v>
          </cell>
          <cell r="G215" t="str">
            <v/>
          </cell>
          <cell r="H215" t="str">
            <v/>
          </cell>
          <cell r="I215" t="str">
            <v/>
          </cell>
          <cell r="J215" t="str">
            <v/>
          </cell>
        </row>
        <row r="216">
          <cell r="A216" t="str">
            <v>_20250425</v>
          </cell>
          <cell r="B216">
            <v>45772</v>
          </cell>
          <cell r="C216" t="str">
            <v>에이피 에이오 리부트 앤 리뉴 크림 50ml캡 외캡</v>
          </cell>
          <cell r="D216" t="str">
            <v>7536696  - 실버증착 신제품 샘플용</v>
          </cell>
          <cell r="E216">
            <v>100</v>
          </cell>
          <cell r="F216">
            <v>45775</v>
          </cell>
          <cell r="G216" t="str">
            <v/>
          </cell>
          <cell r="H216" t="str">
            <v/>
          </cell>
          <cell r="I216" t="str">
            <v/>
          </cell>
          <cell r="J216" t="str">
            <v/>
          </cell>
        </row>
        <row r="217">
          <cell r="A217" t="str">
            <v>_20250425</v>
          </cell>
          <cell r="B217">
            <v>45772</v>
          </cell>
          <cell r="C217" t="str">
            <v>에이피 에이오 리부트 앤 리뉴 크림 50ml캡 내캡</v>
          </cell>
          <cell r="D217" t="str">
            <v>7536696  - black으로 사출요망</v>
          </cell>
          <cell r="E217">
            <v>100</v>
          </cell>
          <cell r="F217">
            <v>45775</v>
          </cell>
          <cell r="G217" t="str">
            <v/>
          </cell>
          <cell r="H217" t="str">
            <v/>
          </cell>
          <cell r="I217" t="str">
            <v/>
          </cell>
          <cell r="J217" t="str">
            <v/>
          </cell>
        </row>
        <row r="218">
          <cell r="A218" t="str">
            <v>_20250425</v>
          </cell>
          <cell r="B218">
            <v>45772</v>
          </cell>
          <cell r="C218" t="str">
            <v>에이피 에이오 리부트 앤 리뉴 크림 50ml캡 숄더</v>
          </cell>
          <cell r="D218" t="str">
            <v>7536696  - 실버증착 신제품 샘플용</v>
          </cell>
          <cell r="E218">
            <v>100</v>
          </cell>
          <cell r="F218">
            <v>45775</v>
          </cell>
          <cell r="G218" t="str">
            <v/>
          </cell>
          <cell r="H218" t="str">
            <v/>
          </cell>
          <cell r="I218" t="str">
            <v/>
          </cell>
          <cell r="J218" t="str">
            <v/>
          </cell>
        </row>
        <row r="219">
          <cell r="A219" t="str">
            <v>_20250425</v>
          </cell>
          <cell r="B219">
            <v>45772</v>
          </cell>
          <cell r="C219" t="str">
            <v>프리메라 더 핸드크림 미스트 20ml 케이스(용기장식) 1299 외케이스</v>
          </cell>
          <cell r="D219" t="str">
            <v>SI1463 :  - 네츄럴로 사출요청 - 기존제품과 신제품 각기 증착해서 조립샘플 작업 예정</v>
          </cell>
          <cell r="E219">
            <v>200</v>
          </cell>
          <cell r="F219">
            <v>45775</v>
          </cell>
          <cell r="G219" t="str">
            <v/>
          </cell>
          <cell r="H219" t="str">
            <v/>
          </cell>
          <cell r="I219" t="str">
            <v/>
          </cell>
          <cell r="J219" t="str">
            <v/>
          </cell>
        </row>
        <row r="220">
          <cell r="A220" t="str">
            <v>SI1591_20250425</v>
          </cell>
          <cell r="B220">
            <v>45772</v>
          </cell>
          <cell r="C220" t="str">
            <v>라네즈 워터슬리핑마스크 70ML (20AD 단캡</v>
          </cell>
          <cell r="D220" t="str">
            <v xml:space="preserve"> - 테스트 불합격으로 다시 제출 예정, 태가 보낼 것 같이하려면 수량 400개로</v>
          </cell>
          <cell r="E220">
            <v>200</v>
          </cell>
          <cell r="F220">
            <v>45775</v>
          </cell>
          <cell r="G220" t="str">
            <v>SI1591</v>
          </cell>
          <cell r="H220" t="str">
            <v>A6205</v>
          </cell>
          <cell r="I220" t="str">
            <v>M201156_02,M201161_03</v>
          </cell>
          <cell r="J220" t="str">
            <v>PP (다원소재 DW-2360)</v>
          </cell>
        </row>
        <row r="221">
          <cell r="A221" t="str">
            <v>_20250428</v>
          </cell>
          <cell r="B221">
            <v>45775</v>
          </cell>
          <cell r="C221" t="str">
            <v>7025191 헤라 UV미스트쿠션C21(견 5G(AD 내용기링</v>
          </cell>
          <cell r="D221" t="str">
            <v>감량 이슈로 링 작게 사출요청: 44.1 부위를 44.0~44.05로 사출요망</v>
          </cell>
          <cell r="E221">
            <v>100</v>
          </cell>
          <cell r="F221">
            <v>45777</v>
          </cell>
          <cell r="G221" t="str">
            <v/>
          </cell>
          <cell r="H221" t="str">
            <v/>
          </cell>
          <cell r="I221" t="str">
            <v/>
          </cell>
          <cell r="J221" t="str">
            <v/>
          </cell>
        </row>
        <row r="222">
          <cell r="A222" t="str">
            <v>SI1603_20250428</v>
          </cell>
          <cell r="B222">
            <v>45775</v>
          </cell>
          <cell r="C222" t="str">
            <v xml:space="preserve">아모스 60파이 원터치캡 </v>
          </cell>
          <cell r="D222" t="str">
            <v>색상실험 샘플 - MB 2가지</v>
          </cell>
          <cell r="E222">
            <v>50</v>
          </cell>
          <cell r="F222">
            <v>45785</v>
          </cell>
          <cell r="G222" t="str">
            <v>SI1603</v>
          </cell>
          <cell r="H222" t="str">
            <v>A0030</v>
          </cell>
          <cell r="I222" t="str">
            <v>DS22163</v>
          </cell>
          <cell r="J222" t="str">
            <v>PP (롯데케미칼 J-560S)</v>
          </cell>
        </row>
        <row r="223">
          <cell r="A223" t="str">
            <v>SI1600_20250428</v>
          </cell>
          <cell r="B223">
            <v>45775</v>
          </cell>
          <cell r="C223" t="str">
            <v>미쟝센 퍼펙트 오일 인퓨전 헤어 마스크150g(25 단캡</v>
          </cell>
          <cell r="D223" t="str">
            <v>펄사출</v>
          </cell>
          <cell r="E223">
            <v>50</v>
          </cell>
          <cell r="F223">
            <v>45783</v>
          </cell>
          <cell r="G223" t="str">
            <v>SI1600</v>
          </cell>
          <cell r="H223" t="str">
            <v>A6849</v>
          </cell>
          <cell r="I223" t="str">
            <v>M251058_01</v>
          </cell>
          <cell r="J223" t="str">
            <v>PP (롯데케미칼 J-560S)</v>
          </cell>
        </row>
        <row r="224">
          <cell r="A224" t="str">
            <v>SI1601_20250428</v>
          </cell>
          <cell r="B224">
            <v>45775</v>
          </cell>
          <cell r="C224" t="str">
            <v>미쟝센 퍼펙트 오일 인퓨전 헤어 마스크150g(25 단용기</v>
          </cell>
          <cell r="D224" t="str">
            <v>펄사출</v>
          </cell>
          <cell r="E224">
            <v>50</v>
          </cell>
          <cell r="F224">
            <v>45783</v>
          </cell>
          <cell r="G224" t="str">
            <v>SI1601</v>
          </cell>
          <cell r="H224" t="str">
            <v>A6849</v>
          </cell>
          <cell r="I224" t="str">
            <v>M251059_01</v>
          </cell>
          <cell r="J224" t="str">
            <v>PP (롯데케미칼 J-560S)</v>
          </cell>
        </row>
        <row r="225">
          <cell r="A225" t="str">
            <v>SI1559_20250512</v>
          </cell>
          <cell r="B225">
            <v>45789</v>
          </cell>
          <cell r="C225" t="str">
            <v>라보에이치 모발강화 트리트먼트 300ml 60파이 원터치캡</v>
          </cell>
          <cell r="D225" t="str">
            <v>아이팩 라인테스트 및 후가공테스트 용 필요수량 150개, 표견용도 활용</v>
          </cell>
          <cell r="E225">
            <v>150</v>
          </cell>
          <cell r="F225">
            <v>45792</v>
          </cell>
          <cell r="G225" t="str">
            <v>SI1559</v>
          </cell>
          <cell r="H225" t="str">
            <v>A6802</v>
          </cell>
          <cell r="I225" t="str">
            <v>M241336-01</v>
          </cell>
          <cell r="J225">
            <v>0</v>
          </cell>
        </row>
        <row r="226">
          <cell r="A226" t="str">
            <v>SI1560_20250512</v>
          </cell>
          <cell r="B226">
            <v>45789</v>
          </cell>
          <cell r="C226" t="str">
            <v>라보에이치 모발강화 트리트먼트 300ml 60파이 장식</v>
          </cell>
          <cell r="D226" t="str">
            <v>아이팩 라인테스트 및 후가공테스트 용 필요수량 150개, 표견용도 활용</v>
          </cell>
          <cell r="E226">
            <v>150</v>
          </cell>
          <cell r="F226">
            <v>45792</v>
          </cell>
          <cell r="G226" t="str">
            <v>SI1560</v>
          </cell>
          <cell r="H226" t="str">
            <v>A6802</v>
          </cell>
          <cell r="I226" t="str">
            <v>M241335-01</v>
          </cell>
          <cell r="J226">
            <v>0</v>
          </cell>
        </row>
        <row r="227">
          <cell r="A227" t="str">
            <v>SI1604_20250515</v>
          </cell>
          <cell r="B227">
            <v>45792</v>
          </cell>
          <cell r="C227" t="str">
            <v>프리메라 오가 리페어씨드 펩타이드 크림50ml(23 캡</v>
          </cell>
          <cell r="F227">
            <v>45792</v>
          </cell>
          <cell r="G227" t="str">
            <v>SI1604</v>
          </cell>
          <cell r="H227">
            <v>0</v>
          </cell>
          <cell r="I227" t="str">
            <v>M221275</v>
          </cell>
          <cell r="J227" t="str">
            <v>PP (다원소재 DW-2360)</v>
          </cell>
        </row>
        <row r="228">
          <cell r="A228" t="str">
            <v>SI1605_20250519</v>
          </cell>
          <cell r="B228">
            <v>45796</v>
          </cell>
          <cell r="C228" t="str">
            <v>(EUSA)라네즈 실키앤스무스 토너 150mL (26 외캡</v>
          </cell>
          <cell r="D228" t="str">
            <v>T1, 감압누수테스트 예정, 테스트 문제없으면 기능 제출 예정, MB입고 되어 있습니다. ABS</v>
          </cell>
          <cell r="E228">
            <v>100</v>
          </cell>
          <cell r="F228">
            <v>45797</v>
          </cell>
          <cell r="G228" t="str">
            <v>SI1605</v>
          </cell>
          <cell r="H228" t="str">
            <v>A6855</v>
          </cell>
          <cell r="I228" t="str">
            <v>M251109_01</v>
          </cell>
          <cell r="J228" t="str">
            <v>ABS (롯데첨단소재 MP-0670)</v>
          </cell>
        </row>
        <row r="229">
          <cell r="A229" t="str">
            <v>SI1606_20250519</v>
          </cell>
          <cell r="B229">
            <v>45796</v>
          </cell>
          <cell r="C229" t="str">
            <v>(EUSA)라네즈 실키앤스무스 토너 150mL (26 내캡</v>
          </cell>
          <cell r="D229" t="str">
            <v>T1, 감압누수테스트 예정, 테스트 문제없으면 기능 제출 예정, MB입고 되어 있습니다. DW</v>
          </cell>
          <cell r="E229">
            <v>100</v>
          </cell>
          <cell r="F229">
            <v>45797</v>
          </cell>
          <cell r="G229" t="str">
            <v>SI1606</v>
          </cell>
          <cell r="H229" t="str">
            <v>A6855</v>
          </cell>
          <cell r="I229" t="str">
            <v>M251108_01</v>
          </cell>
          <cell r="J229" t="str">
            <v>PP (다원소재 DW-2360)</v>
          </cell>
        </row>
        <row r="230">
          <cell r="A230" t="str">
            <v>SI1605_20250522</v>
          </cell>
          <cell r="B230">
            <v>45799</v>
          </cell>
          <cell r="C230" t="str">
            <v>(EUSA)라네즈 실키앤스무스 토너 150mL (26 외캡</v>
          </cell>
          <cell r="D230" t="str">
            <v>T2, 금형 수정 후 23일 입고 예정. 24일 사출요청</v>
          </cell>
          <cell r="E230">
            <v>100</v>
          </cell>
          <cell r="F230">
            <v>45797</v>
          </cell>
          <cell r="G230" t="str">
            <v>SI1605</v>
          </cell>
          <cell r="H230" t="str">
            <v>A6855</v>
          </cell>
          <cell r="I230" t="str">
            <v>M251109_01</v>
          </cell>
          <cell r="J230" t="str">
            <v>ABS (롯데첨단소재 MP-0670)</v>
          </cell>
        </row>
        <row r="231">
          <cell r="A231" t="str">
            <v>SI1606_20250522</v>
          </cell>
          <cell r="B231">
            <v>45799</v>
          </cell>
          <cell r="C231" t="str">
            <v>(EUSA)라네즈 실키앤스무스 토너 150mL (26 내캡</v>
          </cell>
          <cell r="D231" t="str">
            <v>T2, 금형 수정 후 23일 입고 예정. 24일 사출요청</v>
          </cell>
          <cell r="E231">
            <v>100</v>
          </cell>
          <cell r="F231">
            <v>45797</v>
          </cell>
          <cell r="G231" t="str">
            <v>SI1606</v>
          </cell>
          <cell r="H231" t="str">
            <v>A6855</v>
          </cell>
          <cell r="I231" t="str">
            <v>M251108_01</v>
          </cell>
          <cell r="J231" t="str">
            <v>PP (다원소재 DW-2360)</v>
          </cell>
        </row>
        <row r="232">
          <cell r="A232" t="str">
            <v>SI1607_20250522</v>
          </cell>
          <cell r="B232">
            <v>45799</v>
          </cell>
          <cell r="C232" t="str">
            <v>라네즈 옴므블루에너지스킨토너EX(견50ML(25) 외캡</v>
          </cell>
          <cell r="D232" t="str">
            <v>색상실험 - 반드시 색상타겟 보면서 확인 요청(재질 강성함님께 확인하겠음) - 타겟 용기와 같아 보여야 한다고 합니다(불투명)</v>
          </cell>
          <cell r="E232">
            <v>100</v>
          </cell>
          <cell r="F232">
            <v>45803</v>
          </cell>
          <cell r="G232" t="str">
            <v>SI1607</v>
          </cell>
          <cell r="H232" t="str">
            <v>A6153</v>
          </cell>
          <cell r="I232" t="str">
            <v>M191515_01,M201251_02,M211125_03</v>
          </cell>
          <cell r="J232" t="str">
            <v>PETG (SK케미칼 PN200)</v>
          </cell>
          <cell r="M232" t="str">
            <v>7462989 라네즈 옴므불루에너지스킨토너 EX(견50ml 외캡</v>
          </cell>
        </row>
        <row r="233">
          <cell r="A233" t="str">
            <v>SI1608_20250522</v>
          </cell>
          <cell r="B233">
            <v>45799</v>
          </cell>
          <cell r="C233" t="str">
            <v>라네즈 옴므블루에너지스킨토너EX(견50ML(25) 내캡</v>
          </cell>
          <cell r="D233" t="str">
            <v>색상실험 - 반드시 색상타겟 보면서 확인 요청 - 짙은 남색이라고 합니다. MB다시 맞추라고 했습니다</v>
          </cell>
          <cell r="E233">
            <v>100</v>
          </cell>
          <cell r="F233">
            <v>45803</v>
          </cell>
          <cell r="G233" t="str">
            <v>SI1608</v>
          </cell>
          <cell r="H233" t="str">
            <v>A6153</v>
          </cell>
          <cell r="I233" t="str">
            <v>M191514_01,M201250_02,M211124_03</v>
          </cell>
          <cell r="J233" t="str">
            <v>PP (다원소재 DW-2360)</v>
          </cell>
          <cell r="M233" t="str">
            <v>7462989 라네즈 옴므불루에너지스킨토너 EX(견50ml 내캡</v>
          </cell>
        </row>
        <row r="234">
          <cell r="A234" t="str">
            <v>_20250522</v>
          </cell>
          <cell r="B234">
            <v>45799</v>
          </cell>
          <cell r="C234" t="str">
            <v>25ml 단캡</v>
          </cell>
          <cell r="D234" t="str">
            <v>MB들어오면 바로 사출해주세요</v>
          </cell>
          <cell r="E234">
            <v>100</v>
          </cell>
          <cell r="F234">
            <v>45805</v>
          </cell>
          <cell r="G234" t="str">
            <v/>
          </cell>
          <cell r="H234" t="str">
            <v/>
          </cell>
          <cell r="I234" t="str">
            <v/>
          </cell>
          <cell r="J234" t="str">
            <v/>
          </cell>
        </row>
        <row r="235">
          <cell r="A235" t="str">
            <v>_20250522</v>
          </cell>
          <cell r="B235">
            <v>45799</v>
          </cell>
          <cell r="C235" t="str">
            <v>설화수자음생크림 외캡</v>
          </cell>
          <cell r="D235" t="str">
            <v>목분사출 얘기한대로 설화수 외캡(두꺼운 것), 후가공 테스트 위해 이왕찍을 때 가능한 수량 많으면 좋겠지만 상황에 따라 조정해주세요</v>
          </cell>
          <cell r="E235">
            <v>200</v>
          </cell>
          <cell r="F235">
            <v>45800</v>
          </cell>
          <cell r="G235" t="str">
            <v/>
          </cell>
          <cell r="H235" t="str">
            <v/>
          </cell>
          <cell r="I235" t="str">
            <v/>
          </cell>
          <cell r="J235" t="str">
            <v/>
          </cell>
        </row>
        <row r="236">
          <cell r="A236" t="str">
            <v>SI0783_20250522</v>
          </cell>
          <cell r="B236">
            <v>45799</v>
          </cell>
          <cell r="C236" t="str">
            <v>AP빈티지 에센스 30ML 외캡</v>
          </cell>
          <cell r="D236" t="str">
            <v>목분사출 두께 얇은 것 - PCTA수축율이 ABS와 어떻게 되나요?</v>
          </cell>
          <cell r="E236">
            <v>200</v>
          </cell>
          <cell r="F236">
            <v>45800</v>
          </cell>
          <cell r="G236" t="str">
            <v>SI0783</v>
          </cell>
        </row>
        <row r="237">
          <cell r="A237" t="str">
            <v>SI1591_20250602</v>
          </cell>
          <cell r="B237">
            <v>45810</v>
          </cell>
          <cell r="C237" t="str">
            <v>라네즈 워터슬리핑마스크 70ML (20AD 단캡</v>
          </cell>
          <cell r="D237" t="str">
            <v>코팅 개선 샘플 제작용 (나라, 태가)</v>
          </cell>
          <cell r="E237">
            <v>300</v>
          </cell>
          <cell r="F237">
            <v>45775</v>
          </cell>
          <cell r="G237" t="str">
            <v>SI1591</v>
          </cell>
          <cell r="H237" t="str">
            <v>A6205</v>
          </cell>
          <cell r="I237" t="str">
            <v>M201156_02,M201161_03</v>
          </cell>
          <cell r="J237" t="str">
            <v>PP (다원소재 DW-2360)</v>
          </cell>
        </row>
        <row r="238">
          <cell r="A238" t="str">
            <v>SI1595_20250604</v>
          </cell>
          <cell r="B238">
            <v>45812</v>
          </cell>
          <cell r="C238" t="str">
            <v>프리메라 더 핸드크림 미스트 20ml  케이스</v>
          </cell>
          <cell r="D238" t="str">
            <v>차주 수요일까지 라인테스트 100개 제출해야함. 화요일까지 사출요망!</v>
          </cell>
          <cell r="E238">
            <v>100</v>
          </cell>
          <cell r="G238" t="str">
            <v>SI1595</v>
          </cell>
          <cell r="H238">
            <v>0</v>
          </cell>
          <cell r="I238" t="str">
            <v>M231269</v>
          </cell>
          <cell r="J238" t="str">
            <v>HDPE (롯데케미칼 2200J)</v>
          </cell>
        </row>
        <row r="239">
          <cell r="A239" t="str">
            <v>SI1607_20250604</v>
          </cell>
          <cell r="B239">
            <v>45812</v>
          </cell>
          <cell r="C239" t="str">
            <v>라네즈 옴므블루에너지스킨토너EX(견50ML(25) 외캡</v>
          </cell>
          <cell r="D239" t="str">
            <v>색상실험 - 색상타겟 보면서 % 3가지로 사출해달라고 함(MB번호 다시 받아서 요청 중임, 이번주 중 입고 예정)</v>
          </cell>
          <cell r="E239">
            <v>100</v>
          </cell>
          <cell r="F239">
            <v>45803</v>
          </cell>
          <cell r="G239" t="str">
            <v>SI1607</v>
          </cell>
          <cell r="H239" t="str">
            <v>A6153</v>
          </cell>
          <cell r="I239" t="str">
            <v>M191515_01,M201251_02,M211125_03</v>
          </cell>
          <cell r="J239" t="str">
            <v>PETG (SK케미칼 PN200)</v>
          </cell>
        </row>
        <row r="240">
          <cell r="A240" t="str">
            <v>SI1608_20250604</v>
          </cell>
          <cell r="B240">
            <v>45812</v>
          </cell>
          <cell r="C240" t="str">
            <v>라네즈 옴므블루에너지스킨토너EX(견50ML(25) 내캡</v>
          </cell>
          <cell r="D240" t="str">
            <v>색상실험 - 색상타겟 보면서 % 3가지로 사출해달라고 함(MB번호 다시 받아서 요청 중임, 이번주 중 입고 예정)</v>
          </cell>
          <cell r="E240">
            <v>100</v>
          </cell>
          <cell r="F240">
            <v>45803</v>
          </cell>
          <cell r="G240" t="str">
            <v>SI1608</v>
          </cell>
          <cell r="H240" t="str">
            <v>A6153</v>
          </cell>
          <cell r="I240" t="str">
            <v>M191514_01,M201250_02,M211124_03</v>
          </cell>
          <cell r="J240" t="str">
            <v>PP (다원소재 DW-2360)</v>
          </cell>
        </row>
        <row r="241">
          <cell r="A241" t="str">
            <v>SI1591_20250604</v>
          </cell>
          <cell r="B241">
            <v>45812</v>
          </cell>
          <cell r="C241" t="str">
            <v>라네즈 워터슬리핑마스크 70ML (20AD 단캡</v>
          </cell>
          <cell r="D241" t="str">
            <v>나라,태가 코팅 불합격 테스트 진행</v>
          </cell>
          <cell r="G241" t="str">
            <v>SI1591</v>
          </cell>
          <cell r="H241" t="str">
            <v>A6205</v>
          </cell>
          <cell r="I241" t="str">
            <v>M201156_02,M201161_03</v>
          </cell>
          <cell r="J241" t="str">
            <v>PP (다원소재 DW-2360)</v>
          </cell>
        </row>
        <row r="242">
          <cell r="A242" t="str">
            <v>_20250605</v>
          </cell>
          <cell r="B242">
            <v>45813</v>
          </cell>
          <cell r="C242" t="str">
            <v>에이피 에이오 리부트 앤 리뉴 크림 50ml캡 외캡</v>
          </cell>
          <cell r="D242" t="str">
            <v>7536696  - 실버증착 신제품 샘플용 - 라인테스트 수량 부족(내캡은 있음), 표견 포함</v>
          </cell>
          <cell r="E242">
            <v>200</v>
          </cell>
          <cell r="F242">
            <v>45818</v>
          </cell>
          <cell r="G242" t="str">
            <v/>
          </cell>
          <cell r="H242" t="str">
            <v/>
          </cell>
          <cell r="I242" t="str">
            <v/>
          </cell>
          <cell r="J242" t="str">
            <v/>
          </cell>
        </row>
        <row r="243">
          <cell r="A243" t="str">
            <v>_20250605</v>
          </cell>
          <cell r="B243">
            <v>45813</v>
          </cell>
          <cell r="C243" t="str">
            <v>에이피 에이오 리부트 앤 리뉴 크림 50ml캡 숄더</v>
          </cell>
          <cell r="D243" t="str">
            <v>7536696  - 실버증착 신제품 샘플용 - 라인테스트 수량 부족, 표견 포함</v>
          </cell>
          <cell r="E243">
            <v>200</v>
          </cell>
          <cell r="F243">
            <v>45818</v>
          </cell>
          <cell r="G243" t="str">
            <v/>
          </cell>
          <cell r="H243" t="str">
            <v/>
          </cell>
          <cell r="I243" t="str">
            <v/>
          </cell>
          <cell r="J243" t="str">
            <v/>
          </cell>
        </row>
        <row r="244">
          <cell r="A244" t="str">
            <v>_19000100</v>
          </cell>
          <cell r="B244"/>
          <cell r="D244" t="str">
            <v>자음수 150ml 대동 키잡이 수정 확인 후 시사출, 수정 확인 및 표견용 샘플용</v>
          </cell>
          <cell r="E244">
            <v>100</v>
          </cell>
          <cell r="G244" t="str">
            <v/>
          </cell>
          <cell r="H244" t="str">
            <v/>
          </cell>
          <cell r="I244" t="str">
            <v/>
          </cell>
          <cell r="J244" t="str">
            <v/>
          </cell>
        </row>
        <row r="245">
          <cell r="A245" t="str">
            <v>SI1600_20250606</v>
          </cell>
          <cell r="B245">
            <v>45814</v>
          </cell>
          <cell r="C245" t="str">
            <v>미쟝센 퍼펙트 오일 인퓨전 헤어 마스크150g(25 단캡</v>
          </cell>
          <cell r="D245" t="str">
            <v>수정 확인, MB들어오면 한번 더 진행 예정</v>
          </cell>
          <cell r="G245" t="str">
            <v>SI1600</v>
          </cell>
          <cell r="H245" t="str">
            <v>A6849</v>
          </cell>
          <cell r="I245" t="str">
            <v>M251058_01</v>
          </cell>
          <cell r="J245" t="str">
            <v>PP (롯데케미칼 J-560S)</v>
          </cell>
        </row>
        <row r="246">
          <cell r="A246" t="str">
            <v>SI1601_20250606</v>
          </cell>
          <cell r="B246">
            <v>45814</v>
          </cell>
          <cell r="C246" t="str">
            <v>미쟝센 퍼펙트 오일 인퓨전 헤어 마스크150g(25 단용기</v>
          </cell>
          <cell r="D246" t="str">
            <v>수정 확인, MB들어오면 한번 더 진행 예정</v>
          </cell>
          <cell r="G246" t="str">
            <v>SI1601</v>
          </cell>
          <cell r="H246" t="str">
            <v>A6849</v>
          </cell>
          <cell r="I246" t="str">
            <v>M251059_01</v>
          </cell>
          <cell r="J246" t="str">
            <v>PP (롯데케미칼 J-560S)</v>
          </cell>
        </row>
        <row r="247">
          <cell r="A247" t="str">
            <v>SI1606_20250609</v>
          </cell>
          <cell r="B247">
            <v>45817</v>
          </cell>
          <cell r="C247" t="str">
            <v>(EUSA)라네즈 실키앤스무스 토너 150mL (26 내캡</v>
          </cell>
          <cell r="D247" t="str">
            <v>수정 확인 후 문제없으면 기능테스트 제출 예정, 금형 입고시 바로 진행 요청</v>
          </cell>
          <cell r="E247">
            <v>100</v>
          </cell>
          <cell r="F247"/>
          <cell r="G247" t="str">
            <v>SI1606</v>
          </cell>
          <cell r="H247" t="str">
            <v>A6855</v>
          </cell>
          <cell r="I247" t="str">
            <v>M251108_01</v>
          </cell>
          <cell r="J247" t="str">
            <v>PP (다원소재 DW-2360)</v>
          </cell>
        </row>
        <row r="248">
          <cell r="A248" t="str">
            <v>SI1600_20250613</v>
          </cell>
          <cell r="B248">
            <v>45821</v>
          </cell>
          <cell r="C248" t="str">
            <v>미쟝센 퍼펙트 오일 인퓨전 헤어 마스크150g(25 단캡</v>
          </cell>
          <cell r="D248" t="str">
            <v>신원 MB실험</v>
          </cell>
          <cell r="G248" t="str">
            <v>SI1600</v>
          </cell>
          <cell r="H248" t="str">
            <v>A6849</v>
          </cell>
          <cell r="I248" t="str">
            <v>M251058_01</v>
          </cell>
          <cell r="J248" t="str">
            <v>PP (롯데케미칼 J-560S)</v>
          </cell>
        </row>
        <row r="249">
          <cell r="A249" t="str">
            <v>SI1601_20250613</v>
          </cell>
          <cell r="B249">
            <v>45821</v>
          </cell>
          <cell r="C249" t="str">
            <v>미쟝센 퍼펙트 오일 인퓨전 헤어 마스크150g(25 단용기</v>
          </cell>
          <cell r="D249" t="str">
            <v>신원 MB실험(금형 동작 확인)</v>
          </cell>
          <cell r="G249" t="str">
            <v>SI1601</v>
          </cell>
          <cell r="H249" t="str">
            <v>A6849</v>
          </cell>
          <cell r="I249" t="str">
            <v>M251059_01</v>
          </cell>
          <cell r="J249" t="str">
            <v>PP (롯데케미칼 J-560S)</v>
          </cell>
        </row>
        <row r="250">
          <cell r="A250" t="str">
            <v>SI1606_20250618</v>
          </cell>
          <cell r="B250">
            <v>45826</v>
          </cell>
          <cell r="C250" t="str">
            <v>(EUSA)라네즈 실키앤스무스 토너 150mL (26 내캡</v>
          </cell>
          <cell r="D250" t="str">
            <v>내캡 추가 수정 - 캡뜨임 부족으로 내고 조정 및 리브 보강(금형 입고시 바로 사출 요망)</v>
          </cell>
          <cell r="E250">
            <v>100</v>
          </cell>
          <cell r="F250"/>
          <cell r="G250" t="str">
            <v>SI1606</v>
          </cell>
          <cell r="H250" t="str">
            <v>A6855</v>
          </cell>
          <cell r="I250" t="str">
            <v>M251108_01</v>
          </cell>
          <cell r="J250" t="str">
            <v>PP (다원소재 DW-2360)</v>
          </cell>
        </row>
        <row r="251">
          <cell r="A251" t="str">
            <v>SI1601_20250618</v>
          </cell>
          <cell r="B251">
            <v>45826</v>
          </cell>
          <cell r="C251" t="str">
            <v>미쟝센 퍼펙트 오일 인퓨전 헤어 마스크150g(25 단용기</v>
          </cell>
          <cell r="D251" t="str">
            <v>금형 입고 시 바로 시사출 진행 요청, 요청MB로 해야 함</v>
          </cell>
          <cell r="E251">
            <v>150</v>
          </cell>
          <cell r="G251" t="str">
            <v>SI1601</v>
          </cell>
          <cell r="H251" t="str">
            <v>A6849</v>
          </cell>
          <cell r="I251" t="str">
            <v>M251059_01</v>
          </cell>
          <cell r="J251" t="str">
            <v>PP (롯데케미칼 J-560S)</v>
          </cell>
        </row>
        <row r="252">
          <cell r="A252" t="str">
            <v>SI1600_20250623</v>
          </cell>
          <cell r="B252">
            <v>45831</v>
          </cell>
          <cell r="C252" t="str">
            <v>미쟝센 퍼펙트 오일 인퓨전 헤어 마스크150g(25 단캡</v>
          </cell>
          <cell r="D252" t="str">
            <v>요청MB로 사출해주세요(라벨테스트, 후가공테스트, 기능테스트 제출)</v>
          </cell>
          <cell r="E252">
            <v>150</v>
          </cell>
          <cell r="G252" t="str">
            <v>SI1600</v>
          </cell>
          <cell r="H252" t="str">
            <v>A6849</v>
          </cell>
          <cell r="I252" t="str">
            <v>M251058_01</v>
          </cell>
          <cell r="J252" t="str">
            <v>PP (롯데케미칼 J-560S)</v>
          </cell>
        </row>
        <row r="253">
          <cell r="A253" t="str">
            <v>_20250618</v>
          </cell>
          <cell r="B253">
            <v>45826</v>
          </cell>
          <cell r="C253" t="str">
            <v>설화수 자음수 150ml</v>
          </cell>
          <cell r="D253" t="str">
            <v>자음수 150ml 대동 키잡이 수정 확인 후 시사출, 수정 확인 및 표견용 샘플용 - 추가 수정 후 입고되면 바로 해주세요</v>
          </cell>
          <cell r="E253">
            <v>100</v>
          </cell>
          <cell r="G253" t="str">
            <v/>
          </cell>
          <cell r="H253" t="str">
            <v/>
          </cell>
          <cell r="I253" t="str">
            <v/>
          </cell>
          <cell r="J253" t="str">
            <v/>
          </cell>
        </row>
        <row r="254">
          <cell r="A254" t="str">
            <v>SI1609_20250623</v>
          </cell>
          <cell r="B254">
            <v>45831</v>
          </cell>
          <cell r="C254" t="str">
            <v>홀리추얼 울트라 너리싱 어드밴스드 토너 150ML 외캡 사출</v>
          </cell>
          <cell r="D254" t="str">
            <v>T1(MB 색상 맞춰서 사출 요망)</v>
          </cell>
          <cell r="E254">
            <v>50</v>
          </cell>
          <cell r="G254" t="str">
            <v>SI1609</v>
          </cell>
          <cell r="H254" t="str">
            <v>A6866</v>
          </cell>
          <cell r="I254" t="str">
            <v>M251165_01</v>
          </cell>
          <cell r="J254" t="str">
            <v>ABS (롯데첨단소재 MP-0670)</v>
          </cell>
        </row>
        <row r="255">
          <cell r="A255" t="str">
            <v>SI1610_20250623</v>
          </cell>
          <cell r="B255">
            <v>45831</v>
          </cell>
          <cell r="C255" t="str">
            <v>홀리추얼 울트라 너리싱 어드밴스드 토너 150ML 캡장식 사출</v>
          </cell>
          <cell r="D255" t="str">
            <v>T1(MB 색상 맞춰서 사출 요망)</v>
          </cell>
          <cell r="E255">
            <v>50</v>
          </cell>
          <cell r="G255" t="str">
            <v>SI1610</v>
          </cell>
          <cell r="H255" t="str">
            <v>A6866</v>
          </cell>
          <cell r="I255" t="str">
            <v>M251167_01</v>
          </cell>
          <cell r="J255" t="str">
            <v>ABS (롯데첨단소재 MP-0670)</v>
          </cell>
        </row>
        <row r="256">
          <cell r="A256" t="str">
            <v>SI1611_20250623</v>
          </cell>
          <cell r="B256">
            <v>45831</v>
          </cell>
          <cell r="C256" t="str">
            <v>홀리추얼 울트라 너리싱 어드밴스드 토너 150ML 내캡</v>
          </cell>
          <cell r="D256" t="str">
            <v>T1(MB 색상 맞춰서 사출 요망)</v>
          </cell>
          <cell r="E256">
            <v>50</v>
          </cell>
          <cell r="G256" t="str">
            <v>SI1611</v>
          </cell>
          <cell r="H256" t="str">
            <v>A6866</v>
          </cell>
          <cell r="I256" t="str">
            <v>M251166_01</v>
          </cell>
          <cell r="J256" t="str">
            <v>PP (롯데케미칼 J-560S)</v>
          </cell>
        </row>
        <row r="257">
          <cell r="A257" t="str">
            <v>_20250625</v>
          </cell>
          <cell r="B257">
            <v>45833</v>
          </cell>
          <cell r="C257" t="str">
            <v>에이피 에이오 리부트 앤 리뉴 크림 50ml캡 숄더</v>
          </cell>
          <cell r="D257" t="str">
            <v>7536696  - 실버증착 신제품 샘플용 - 인쇄박리로 다시 제출 필요, 긴급!!! 7월17일 생산회의, 후가공테스트 및 표견용 샘플 확보 수량</v>
          </cell>
          <cell r="E257">
            <v>200</v>
          </cell>
          <cell r="F257">
            <v>45834</v>
          </cell>
          <cell r="G257" t="str">
            <v/>
          </cell>
          <cell r="H257" t="str">
            <v/>
          </cell>
          <cell r="I257" t="str">
            <v/>
          </cell>
          <cell r="J257" t="str">
            <v/>
          </cell>
        </row>
        <row r="258">
          <cell r="A258" t="str">
            <v>_20250625</v>
          </cell>
          <cell r="B258">
            <v>45833</v>
          </cell>
          <cell r="C258" t="str">
            <v>25ml 단캡</v>
          </cell>
          <cell r="D258" t="str">
            <v>손보배님이 25ml 견본캡을 MB4C로 홀리츄얼 내캡과 같은 색상으로 제품낸다고 샘플 요청, 일정은 여유 있음 MB4C 저광소재 PP로 사출 요청 -&gt; 지난번 샘플로 포장재 테스트 진행한다고 합니다. 표견용 사출샘플 필요하다고 해서 추가 진행 요청입니다. 신제품이름은 홀리추얼 토너 25ML 라고 합니다</v>
          </cell>
          <cell r="E258">
            <v>100</v>
          </cell>
          <cell r="F258">
            <v>45838</v>
          </cell>
          <cell r="G258" t="str">
            <v/>
          </cell>
          <cell r="H258" t="str">
            <v/>
          </cell>
          <cell r="I258" t="str">
            <v/>
          </cell>
          <cell r="J258" t="str">
            <v/>
          </cell>
        </row>
        <row r="259">
          <cell r="A259" t="str">
            <v>_20250626</v>
          </cell>
          <cell r="B259">
            <v>45834</v>
          </cell>
          <cell r="C259" t="str">
            <v xml:space="preserve">아모스 60파이 사각 원터치캡 </v>
          </cell>
          <cell r="D259" t="str">
            <v>색상실험 -&gt; MB 입고 시 실험</v>
          </cell>
          <cell r="E259">
            <v>50</v>
          </cell>
          <cell r="F259"/>
          <cell r="G259" t="str">
            <v/>
          </cell>
          <cell r="H259" t="str">
            <v/>
          </cell>
          <cell r="I259" t="str">
            <v/>
          </cell>
          <cell r="J259" t="str">
            <v/>
          </cell>
        </row>
        <row r="260">
          <cell r="A260" t="str">
            <v>SI1606_20250630</v>
          </cell>
          <cell r="B260">
            <v>45838</v>
          </cell>
          <cell r="C260" t="str">
            <v>(EUSA)라네즈 실키앤스무스 토너 150mL (26 내캡</v>
          </cell>
          <cell r="D260" t="str">
            <v>계속 캡뜨임 불합격 판정으로 재질을 4017로 변경해보라는 요청</v>
          </cell>
          <cell r="E260">
            <v>100</v>
          </cell>
          <cell r="F260">
            <v>45840</v>
          </cell>
          <cell r="G260" t="str">
            <v>SI1606</v>
          </cell>
          <cell r="H260" t="str">
            <v>A6855</v>
          </cell>
          <cell r="I260" t="str">
            <v>M251108_01</v>
          </cell>
          <cell r="J260" t="str">
            <v>PP (다원소재 DW-2360)</v>
          </cell>
        </row>
        <row r="261">
          <cell r="A261" t="str">
            <v>_20250702</v>
          </cell>
          <cell r="B261">
            <v>45840</v>
          </cell>
          <cell r="C261" t="str">
            <v>15ml 견본캡( 7000562 라네즈 에센셜파워스킨_UM(견 15ML(16) 캡??)</v>
          </cell>
          <cell r="D261" t="str">
            <v>손보배님 메일 참조, 신제품 개발로 요청, 해당 제품이 맞는지 확인 요청, 메일 내용 참조</v>
          </cell>
          <cell r="E261">
            <v>200</v>
          </cell>
          <cell r="G261" t="str">
            <v/>
          </cell>
          <cell r="H261" t="str">
            <v/>
          </cell>
          <cell r="I261" t="str">
            <v/>
          </cell>
          <cell r="J261" t="str">
            <v/>
          </cell>
        </row>
        <row r="262">
          <cell r="A262" t="str">
            <v>SI1609_20250703</v>
          </cell>
          <cell r="B262">
            <v>45841</v>
          </cell>
          <cell r="C262" t="str">
            <v>홀리추얼 울트라 너리싱 어드밴스드 토너 150ML 외캡 사출</v>
          </cell>
          <cell r="D262"/>
          <cell r="E262">
            <v>200</v>
          </cell>
          <cell r="G262" t="str">
            <v>SI1609</v>
          </cell>
          <cell r="H262" t="str">
            <v>A6866</v>
          </cell>
          <cell r="I262" t="str">
            <v>M251165_01</v>
          </cell>
          <cell r="J262" t="str">
            <v>ABS (롯데첨단소재 MP-0670)</v>
          </cell>
        </row>
        <row r="263">
          <cell r="A263" t="str">
            <v>SI1610_20250703</v>
          </cell>
          <cell r="B263">
            <v>45841</v>
          </cell>
          <cell r="C263" t="str">
            <v>홀리추얼 울트라 너리싱 어드밴스드 토너 150ML 캡장식 사출</v>
          </cell>
          <cell r="D263"/>
          <cell r="E263">
            <v>200</v>
          </cell>
          <cell r="G263" t="str">
            <v>SI1610</v>
          </cell>
          <cell r="H263" t="str">
            <v>A6866</v>
          </cell>
          <cell r="I263" t="str">
            <v>M251167_01</v>
          </cell>
          <cell r="J263" t="str">
            <v>ABS (롯데첨단소재 MP-0670)</v>
          </cell>
        </row>
        <row r="264">
          <cell r="A264" t="str">
            <v>SI1611_20250703</v>
          </cell>
          <cell r="B264">
            <v>45841</v>
          </cell>
          <cell r="C264" t="str">
            <v>홀리추얼 울트라 너리싱 어드밴스드 토너 150ML 내캡</v>
          </cell>
          <cell r="D264"/>
          <cell r="E264">
            <v>200</v>
          </cell>
          <cell r="G264" t="str">
            <v>SI1611</v>
          </cell>
          <cell r="H264" t="str">
            <v>A6866</v>
          </cell>
          <cell r="I264" t="str">
            <v>M251166_01</v>
          </cell>
          <cell r="J264" t="str">
            <v>PP (롯데케미칼 J-560S)</v>
          </cell>
        </row>
        <row r="265">
          <cell r="A265" t="str">
            <v>SI1630_20250708</v>
          </cell>
          <cell r="B265">
            <v>45846</v>
          </cell>
          <cell r="C265" t="str">
            <v>설화수 진설명작크림 (견) 5ML (AD 외캡</v>
          </cell>
          <cell r="D265" t="str">
            <v xml:space="preserve">T1 시사출 </v>
          </cell>
          <cell r="E265">
            <v>50</v>
          </cell>
          <cell r="G265" t="str">
            <v>SI1630</v>
          </cell>
          <cell r="H265" t="str">
            <v>A6869</v>
          </cell>
          <cell r="I265" t="str">
            <v>M251180_01</v>
          </cell>
          <cell r="J265" t="str">
            <v>ABS (롯데첨단소재 MP-0670)</v>
          </cell>
        </row>
        <row r="266">
          <cell r="A266" t="str">
            <v>SI1631_20250708</v>
          </cell>
          <cell r="B266">
            <v>45846</v>
          </cell>
          <cell r="C266" t="str">
            <v>설화수 진설명작크림 (견) 5ML (AD 내캡</v>
          </cell>
          <cell r="D266" t="str">
            <v>T1 시사출</v>
          </cell>
          <cell r="E266">
            <v>50</v>
          </cell>
          <cell r="G266" t="str">
            <v>SI1631</v>
          </cell>
          <cell r="H266" t="str">
            <v>A6869</v>
          </cell>
          <cell r="I266" t="str">
            <v>M251179_01</v>
          </cell>
          <cell r="J266" t="str">
            <v>PP (대한유화 4017) (30%)
PP (다원소재 DW-2360) (70%)</v>
          </cell>
        </row>
        <row r="267">
          <cell r="A267" t="str">
            <v>SI1632_20250708</v>
          </cell>
          <cell r="B267">
            <v>45846</v>
          </cell>
          <cell r="C267" t="str">
            <v>설화수 진설명작크림 (견) 5ML (AD 단용기</v>
          </cell>
          <cell r="D267" t="str">
            <v>T1 시사출</v>
          </cell>
          <cell r="E267">
            <v>50</v>
          </cell>
          <cell r="G267" t="str">
            <v>SI1632</v>
          </cell>
          <cell r="H267" t="str">
            <v>A6869</v>
          </cell>
          <cell r="I267" t="str">
            <v>M251181_01</v>
          </cell>
          <cell r="J267" t="str">
            <v>PP (롯데케미칼 J-560S)</v>
          </cell>
        </row>
        <row r="268">
          <cell r="A268" t="str">
            <v>SI1633_20250708</v>
          </cell>
          <cell r="B268">
            <v>45846</v>
          </cell>
          <cell r="C268" t="str">
            <v>설화수 진설명작크림 (견) 5ML (AD 용기받침</v>
          </cell>
          <cell r="D268" t="str">
            <v>T1 시사출</v>
          </cell>
          <cell r="E268">
            <v>50</v>
          </cell>
          <cell r="G268" t="str">
            <v>SI1633</v>
          </cell>
          <cell r="H268" t="str">
            <v>A6869</v>
          </cell>
          <cell r="I268" t="str">
            <v>M251182_01</v>
          </cell>
          <cell r="J268" t="str">
            <v>ABS (롯데첨단소재 MP-0670)</v>
          </cell>
        </row>
        <row r="269">
          <cell r="A269" t="str">
            <v>SI1629_20250708</v>
          </cell>
          <cell r="B269">
            <v>45846</v>
          </cell>
          <cell r="C269" t="str">
            <v>설화수 진설명작크림 (견) 10ML (AD 사출덮개</v>
          </cell>
          <cell r="D269" t="str">
            <v>T1 시사출</v>
          </cell>
          <cell r="E269">
            <v>50</v>
          </cell>
          <cell r="G269" t="str">
            <v>SI1629</v>
          </cell>
          <cell r="H269" t="str">
            <v>A6868</v>
          </cell>
          <cell r="I269" t="str">
            <v>M251178_01</v>
          </cell>
          <cell r="J269" t="str">
            <v>Hytrel (Dupont H7246)</v>
          </cell>
        </row>
        <row r="270">
          <cell r="A270" t="str">
            <v>SI1625_20250708</v>
          </cell>
          <cell r="B270">
            <v>45846</v>
          </cell>
          <cell r="C270" t="str">
            <v>설화수 진설명작크림 (견) 10ML (AD 외캡</v>
          </cell>
          <cell r="D270" t="str">
            <v>T1 시사출</v>
          </cell>
          <cell r="E270">
            <v>50</v>
          </cell>
          <cell r="G270" t="str">
            <v>SI1625</v>
          </cell>
          <cell r="H270" t="str">
            <v>A6868</v>
          </cell>
          <cell r="I270" t="str">
            <v>M251175_01</v>
          </cell>
          <cell r="J270" t="str">
            <v>ABS (롯데첨단소재 MP-0670)</v>
          </cell>
        </row>
        <row r="271">
          <cell r="A271" t="str">
            <v>SI1626_20250708</v>
          </cell>
          <cell r="B271">
            <v>45846</v>
          </cell>
          <cell r="C271" t="str">
            <v>설화수 진설명작크림 (견) 10ML (AD 내캡</v>
          </cell>
          <cell r="D271" t="str">
            <v>T1 시사출</v>
          </cell>
          <cell r="E271">
            <v>50</v>
          </cell>
          <cell r="G271" t="str">
            <v>SI1626</v>
          </cell>
          <cell r="H271" t="str">
            <v>A6868</v>
          </cell>
          <cell r="I271" t="str">
            <v>M251174_01</v>
          </cell>
          <cell r="J271" t="str">
            <v>"PP (대한유화 4017) (30%)
PP (다원소재 DW-2360) (70%)"</v>
          </cell>
        </row>
        <row r="272">
          <cell r="A272" t="str">
            <v>SI1628_20250708</v>
          </cell>
          <cell r="B272">
            <v>45846</v>
          </cell>
          <cell r="C272" t="str">
            <v>설화수 진설명작크림 (견) 10ML (AD 단용기</v>
          </cell>
          <cell r="D272" t="str">
            <v>T1 시사출</v>
          </cell>
          <cell r="E272">
            <v>50</v>
          </cell>
          <cell r="G272" t="str">
            <v>SI1628</v>
          </cell>
          <cell r="H272" t="str">
            <v>A6868</v>
          </cell>
          <cell r="I272" t="str">
            <v>M251177_01</v>
          </cell>
          <cell r="J272" t="str">
            <v>PP (롯데케미칼 J-560S)</v>
          </cell>
        </row>
        <row r="273">
          <cell r="A273" t="str">
            <v>SI1627_20250708</v>
          </cell>
          <cell r="B273">
            <v>45846</v>
          </cell>
          <cell r="C273" t="str">
            <v>설화수 진설명작크림 (견) 10ML (AD 용기받침</v>
          </cell>
          <cell r="D273" t="str">
            <v>T1 시사출</v>
          </cell>
          <cell r="E273">
            <v>50</v>
          </cell>
          <cell r="G273" t="str">
            <v>SI1627</v>
          </cell>
          <cell r="H273" t="str">
            <v>A6868</v>
          </cell>
          <cell r="I273" t="str">
            <v>M251176_01</v>
          </cell>
          <cell r="J273" t="str">
            <v>ABS (롯데첨단소재 MP-0670)</v>
          </cell>
        </row>
        <row r="274">
          <cell r="A274" t="str">
            <v>SI1629_20250708</v>
          </cell>
          <cell r="B274">
            <v>45846</v>
          </cell>
          <cell r="C274" t="str">
            <v>설화수 진설명작크림 (견) 10ML (AD 사출덮개</v>
          </cell>
          <cell r="D274" t="str">
            <v>T1 시사출</v>
          </cell>
          <cell r="E274">
            <v>50</v>
          </cell>
          <cell r="G274" t="str">
            <v>SI1629</v>
          </cell>
          <cell r="H274" t="str">
            <v>A6868</v>
          </cell>
          <cell r="I274" t="str">
            <v>M251178_01</v>
          </cell>
          <cell r="J274" t="str">
            <v>Hytrel (Dupont H7246)</v>
          </cell>
        </row>
        <row r="275">
          <cell r="A275" t="str">
            <v>SI1614_20250708</v>
          </cell>
          <cell r="B275">
            <v>45846</v>
          </cell>
          <cell r="C275" t="str">
            <v>설화수 진설명작크림 60ML (26AD 내캡</v>
          </cell>
          <cell r="D275" t="str">
            <v>T1 시사출</v>
          </cell>
          <cell r="E275">
            <v>50</v>
          </cell>
          <cell r="F275">
            <v>45856</v>
          </cell>
          <cell r="G275" t="str">
            <v>SI1614</v>
          </cell>
          <cell r="H275" t="str">
            <v>A6867</v>
          </cell>
          <cell r="I275" t="str">
            <v>M251184_01</v>
          </cell>
          <cell r="J275" t="str">
            <v>PP (대한유화 4017) (30%)
PP (다원소재 DW-2360) (70%)</v>
          </cell>
        </row>
        <row r="276">
          <cell r="A276" t="str">
            <v>SI1615_20250708</v>
          </cell>
          <cell r="B276">
            <v>45846</v>
          </cell>
          <cell r="C276" t="str">
            <v>설화수 진설명작크림 60ML (26AD 캡장식-하단링</v>
          </cell>
          <cell r="D276" t="str">
            <v>T1 시사출</v>
          </cell>
          <cell r="E276">
            <v>50</v>
          </cell>
          <cell r="F276">
            <v>45856</v>
          </cell>
          <cell r="G276" t="str">
            <v>SI1615</v>
          </cell>
          <cell r="H276" t="str">
            <v>A6867</v>
          </cell>
          <cell r="I276" t="str">
            <v>M251185_01</v>
          </cell>
          <cell r="J276" t="str">
            <v>ABS (롯데첨단소재 MP-0670)</v>
          </cell>
        </row>
        <row r="277">
          <cell r="A277" t="str">
            <v>SI1616_20250708</v>
          </cell>
          <cell r="B277">
            <v>45846</v>
          </cell>
          <cell r="C277" t="str">
            <v>설화수 진설명작크림 60ML (26AD 사출덮개</v>
          </cell>
          <cell r="D277" t="str">
            <v>T1 시사출</v>
          </cell>
          <cell r="E277">
            <v>50</v>
          </cell>
          <cell r="F277">
            <v>45856</v>
          </cell>
          <cell r="G277" t="str">
            <v>SI1616</v>
          </cell>
          <cell r="H277" t="str">
            <v>A6867</v>
          </cell>
          <cell r="I277" t="str">
            <v>M251186_01</v>
          </cell>
          <cell r="J277" t="str">
            <v>Hytrel (Dupont H7246)</v>
          </cell>
        </row>
        <row r="278">
          <cell r="A278" t="str">
            <v>SI1617_20250708</v>
          </cell>
          <cell r="B278">
            <v>45846</v>
          </cell>
          <cell r="C278" t="str">
            <v>설화수 진설명작크림 60ML (26AD 중용기</v>
          </cell>
          <cell r="D278" t="str">
            <v>T1 시사출</v>
          </cell>
          <cell r="E278">
            <v>50</v>
          </cell>
          <cell r="F278">
            <v>45856</v>
          </cell>
          <cell r="G278" t="str">
            <v>SI1617</v>
          </cell>
          <cell r="H278" t="str">
            <v>A6867</v>
          </cell>
          <cell r="I278" t="str">
            <v>M251188_01</v>
          </cell>
          <cell r="J278" t="str">
            <v>ABS (롯데첨단소재 MP-0670)</v>
          </cell>
        </row>
        <row r="279">
          <cell r="A279" t="str">
            <v>SI1618_20250708</v>
          </cell>
          <cell r="B279">
            <v>45846</v>
          </cell>
          <cell r="C279" t="str">
            <v>설화수 진설명작크림 60ML (26AD 내용기</v>
          </cell>
          <cell r="D279" t="str">
            <v>T1 시사출</v>
          </cell>
          <cell r="E279">
            <v>50</v>
          </cell>
          <cell r="F279">
            <v>45856</v>
          </cell>
          <cell r="G279" t="str">
            <v>SI1618</v>
          </cell>
          <cell r="H279" t="str">
            <v>A6867</v>
          </cell>
          <cell r="I279" t="str">
            <v>M251187_01</v>
          </cell>
          <cell r="J279" t="str">
            <v>PP (롯데케미칼 J-560S)</v>
          </cell>
        </row>
        <row r="280">
          <cell r="A280" t="str">
            <v>SI1619_20250708</v>
          </cell>
          <cell r="B280">
            <v>45846</v>
          </cell>
          <cell r="C280" t="str">
            <v>설화수 진설명작크림 60ML (26AD 외용기</v>
          </cell>
          <cell r="D280" t="str">
            <v>T1 시사출</v>
          </cell>
          <cell r="E280">
            <v>50</v>
          </cell>
          <cell r="F280">
            <v>45856</v>
          </cell>
          <cell r="G280" t="str">
            <v>SI1619</v>
          </cell>
          <cell r="H280" t="str">
            <v>A6867</v>
          </cell>
          <cell r="I280" t="str">
            <v>M251189_01</v>
          </cell>
          <cell r="J280" t="str">
            <v>PETG (SK케미칼 PN200)</v>
          </cell>
        </row>
        <row r="281">
          <cell r="A281" t="str">
            <v>SI1620_20250708</v>
          </cell>
          <cell r="B281">
            <v>45846</v>
          </cell>
          <cell r="C281" t="str">
            <v>설화수 진설명작크림 60ML (26AD 용기받침 사출</v>
          </cell>
          <cell r="D281" t="str">
            <v>T1 시사출</v>
          </cell>
          <cell r="E281">
            <v>50</v>
          </cell>
          <cell r="F281">
            <v>45856</v>
          </cell>
          <cell r="G281" t="str">
            <v>SI1620</v>
          </cell>
          <cell r="H281" t="str">
            <v>A6867</v>
          </cell>
          <cell r="I281" t="str">
            <v>M251190_01</v>
          </cell>
          <cell r="J281" t="str">
            <v>ABS (롯데첨단소재 MP-0670)</v>
          </cell>
        </row>
        <row r="282">
          <cell r="A282" t="str">
            <v>SI1621_20250708</v>
          </cell>
          <cell r="B282">
            <v>45846</v>
          </cell>
          <cell r="C282" t="str">
            <v>설화수 진설명작크림 60ML (26AD 숄더장식 사출</v>
          </cell>
          <cell r="D282" t="str">
            <v>T1 시사출</v>
          </cell>
          <cell r="E282">
            <v>50</v>
          </cell>
          <cell r="F282">
            <v>45856</v>
          </cell>
          <cell r="G282" t="str">
            <v>SI1621</v>
          </cell>
          <cell r="H282" t="str">
            <v>A6867</v>
          </cell>
          <cell r="I282" t="str">
            <v>M251191_01</v>
          </cell>
          <cell r="J282" t="str">
            <v>ABS (롯데첨단소재 MP-0670)</v>
          </cell>
        </row>
        <row r="283">
          <cell r="A283" t="str">
            <v>SI1622_20250708</v>
          </cell>
          <cell r="B283">
            <v>45846</v>
          </cell>
          <cell r="C283" t="str">
            <v>설화수 진설명작크림 60ML (26AD 스파츌러대 사출</v>
          </cell>
          <cell r="D283" t="str">
            <v>T1 시사출</v>
          </cell>
          <cell r="E283">
            <v>50</v>
          </cell>
          <cell r="F283">
            <v>45856</v>
          </cell>
          <cell r="G283" t="str">
            <v>SI1622</v>
          </cell>
          <cell r="H283" t="str">
            <v>A6867</v>
          </cell>
          <cell r="I283" t="str">
            <v>M251192_01</v>
          </cell>
          <cell r="J283" t="str">
            <v>ABS (롯데첨단소재 MP-0670)</v>
          </cell>
        </row>
        <row r="284">
          <cell r="A284" t="str">
            <v>SI1623_20250708</v>
          </cell>
          <cell r="B284">
            <v>45846</v>
          </cell>
          <cell r="C284" t="str">
            <v>설화수 진설명작크림 리필 60ML (26AD 단캡</v>
          </cell>
          <cell r="D284" t="str">
            <v>T1 시사출</v>
          </cell>
          <cell r="E284">
            <v>50</v>
          </cell>
          <cell r="F284">
            <v>45856</v>
          </cell>
          <cell r="G284" t="str">
            <v>SI1623</v>
          </cell>
          <cell r="H284" t="str">
            <v>A6867, A6871</v>
          </cell>
          <cell r="I284" t="str">
            <v>M251217_01</v>
          </cell>
          <cell r="J284" t="str">
            <v>PETG (SK케미칼 PN200)</v>
          </cell>
        </row>
        <row r="285">
          <cell r="A285" t="str">
            <v>SI1609_20250708</v>
          </cell>
          <cell r="B285">
            <v>45846</v>
          </cell>
          <cell r="C285" t="str">
            <v>홀리추얼 울트라 너리싱 어드밴스드 토너 150ML 외캡 사출</v>
          </cell>
          <cell r="D285" t="str">
            <v>라인테스트 및 표견 용 - 빨리 진행 요청드립니다</v>
          </cell>
          <cell r="E285">
            <v>200</v>
          </cell>
          <cell r="F285">
            <v>45852</v>
          </cell>
          <cell r="G285" t="str">
            <v>SI1609</v>
          </cell>
          <cell r="H285" t="str">
            <v>A6866</v>
          </cell>
          <cell r="I285" t="str">
            <v>M251165_01</v>
          </cell>
          <cell r="J285" t="str">
            <v>ABS (롯데첨단소재 MP-0670)</v>
          </cell>
        </row>
        <row r="286">
          <cell r="A286" t="str">
            <v>SI1610_20250708</v>
          </cell>
          <cell r="B286">
            <v>45846</v>
          </cell>
          <cell r="C286" t="str">
            <v>홀리추얼 울트라 너리싱 어드밴스드 토너 150ML 캡장식 사출</v>
          </cell>
          <cell r="D286" t="str">
            <v>라인테스트 및 표견 용</v>
          </cell>
          <cell r="E286">
            <v>200</v>
          </cell>
          <cell r="F286">
            <v>45852</v>
          </cell>
          <cell r="G286" t="str">
            <v>SI1610</v>
          </cell>
          <cell r="H286" t="str">
            <v>A6866</v>
          </cell>
          <cell r="I286" t="str">
            <v>M251167_01</v>
          </cell>
          <cell r="J286" t="str">
            <v>ABS (롯데첨단소재 MP-0670)</v>
          </cell>
        </row>
        <row r="287">
          <cell r="A287" t="str">
            <v>SI1611_20250708</v>
          </cell>
          <cell r="B287">
            <v>45846</v>
          </cell>
          <cell r="C287" t="str">
            <v>홀리추얼 울트라 너리싱 어드밴스드 토너 150ML 내캡</v>
          </cell>
          <cell r="D287" t="str">
            <v>라인테스트 및 표견 용</v>
          </cell>
          <cell r="E287">
            <v>200</v>
          </cell>
          <cell r="F287">
            <v>45852</v>
          </cell>
          <cell r="G287" t="str">
            <v>SI1611</v>
          </cell>
          <cell r="H287" t="str">
            <v>A6866</v>
          </cell>
          <cell r="I287" t="str">
            <v>M251166_01</v>
          </cell>
          <cell r="J287" t="str">
            <v>PP (롯데케미칼 J-560S)</v>
          </cell>
        </row>
        <row r="288">
          <cell r="A288" t="str">
            <v>_20250714</v>
          </cell>
          <cell r="B288">
            <v>45852</v>
          </cell>
          <cell r="C288" t="str">
            <v>에이피 에이오 리부트 앤 리뉴 크림 50ml캡 내캡</v>
          </cell>
          <cell r="D288" t="str">
            <v>7536696  - black으로 사출요망, 스토퍼 부위 실바리 및 위치 주의, 나사선 백화 주의, 나사경 치수 확인 필수(도면치수 47.4)!! - 기능30개 생산회의 및 표견 용</v>
          </cell>
          <cell r="E288">
            <v>100</v>
          </cell>
          <cell r="F288">
            <v>45853</v>
          </cell>
          <cell r="G288" t="str">
            <v/>
          </cell>
          <cell r="H288" t="str">
            <v/>
          </cell>
          <cell r="I288" t="str">
            <v/>
          </cell>
          <cell r="J288" t="str">
            <v/>
          </cell>
        </row>
        <row r="289">
          <cell r="A289" t="str">
            <v>_20250720</v>
          </cell>
          <cell r="B289">
            <v>45858</v>
          </cell>
          <cell r="C289" t="str">
            <v>바뷰 슈퍼콜라겐 프래티넘-오버캡</v>
          </cell>
          <cell r="D289" t="str">
            <v>MB 4% 확정, 라인테스트 2,000EA제출, 표견용 수량</v>
          </cell>
          <cell r="E289">
            <v>2100</v>
          </cell>
          <cell r="F289">
            <v>45862</v>
          </cell>
          <cell r="G289" t="str">
            <v/>
          </cell>
          <cell r="H289" t="str">
            <v/>
          </cell>
          <cell r="I289" t="str">
            <v/>
          </cell>
          <cell r="J289" t="str">
            <v/>
          </cell>
        </row>
        <row r="290">
          <cell r="A290" t="str">
            <v>SI1634_20250723</v>
          </cell>
          <cell r="B290">
            <v>45861</v>
          </cell>
          <cell r="C290" t="str">
            <v>설화수 진설명작크림 (견) 5ML (AD 사출덮개</v>
          </cell>
          <cell r="D290" t="str">
            <v>T1 시사출</v>
          </cell>
          <cell r="E290">
            <v>50</v>
          </cell>
          <cell r="F290">
            <v>45862</v>
          </cell>
          <cell r="G290" t="str">
            <v>SI1634</v>
          </cell>
          <cell r="H290" t="str">
            <v>A6869</v>
          </cell>
          <cell r="I290" t="str">
            <v>M251183_01</v>
          </cell>
          <cell r="J290" t="str">
            <v>Hytrel (Dupont H7246)</v>
          </cell>
        </row>
        <row r="291">
          <cell r="A291" t="str">
            <v>SI1622_20250708</v>
          </cell>
          <cell r="B291">
            <v>45846</v>
          </cell>
          <cell r="C291" t="str">
            <v>설화수 진설명작크림 60ML (26AD 스파츌러대 사출</v>
          </cell>
          <cell r="D291" t="str">
            <v>PETG로 사출해야 함!!! 무게 중심 이슈로 고중량 abs검토 중, 구하기 전에 비중이 큰 소재로 사출해서 테스트해보겠다고 함</v>
          </cell>
          <cell r="E291">
            <v>100</v>
          </cell>
          <cell r="F291">
            <v>45868</v>
          </cell>
          <cell r="G291" t="str">
            <v>SI1622</v>
          </cell>
          <cell r="H291" t="str">
            <v>A6867</v>
          </cell>
          <cell r="I291" t="str">
            <v>M251192_01</v>
          </cell>
          <cell r="J291" t="str">
            <v>ABS (롯데첨단소재 MP-0670)</v>
          </cell>
        </row>
        <row r="292">
          <cell r="A292" t="str">
            <v>SI1611_20250807</v>
          </cell>
          <cell r="B292">
            <v>45876</v>
          </cell>
          <cell r="C292" t="str">
            <v>홀리추얼 울트라 너리싱 어드밴스드 토너 150ML 내캡</v>
          </cell>
          <cell r="D292" t="str">
            <v>내고 규격 수정</v>
          </cell>
          <cell r="G292" t="str">
            <v>SI1611</v>
          </cell>
          <cell r="H292" t="str">
            <v>A6866</v>
          </cell>
          <cell r="I292" t="str">
            <v>M251166_01</v>
          </cell>
          <cell r="J292" t="str">
            <v>PP (롯데케미칼 J-560S)</v>
          </cell>
        </row>
        <row r="293">
          <cell r="A293" t="str">
            <v>SI1611_20250812</v>
          </cell>
          <cell r="B293">
            <v>45881</v>
          </cell>
          <cell r="C293" t="str">
            <v>홀리추얼 울트라 너리싱 어드밴스드 토너 150ML 내캡</v>
          </cell>
          <cell r="D293" t="str">
            <v>방향 수정</v>
          </cell>
          <cell r="E293">
            <v>100</v>
          </cell>
          <cell r="G293" t="str">
            <v>SI1611</v>
          </cell>
          <cell r="H293" t="str">
            <v>A6866</v>
          </cell>
          <cell r="I293" t="str">
            <v>M251166_01</v>
          </cell>
          <cell r="J293" t="str">
            <v>PP (롯데케미칼 J-560S)</v>
          </cell>
        </row>
        <row r="294">
          <cell r="B294">
            <v>45881</v>
          </cell>
          <cell r="C294" t="str">
            <v>목분 실험요청</v>
          </cell>
          <cell r="D294" t="str">
            <v>30%, 50% 연속생산 문제없는지 점검, 연속사출 문제점 확인, 사출조건 확인, 수축률 확인, 퍼징전용 원료로 사출기 퍼징했을때 문제 점검 등
사출물 후가공 진행 예정 - 네츄럴, 전사지, 무광컬러, 무광클리어, 무광증착(골드) 각 샘플 당 %별 200ea 수량요청 - 후가공 loss감안, 방문업체 샘플 제공 등
가능 일정 회신 부탁드립니다. 수고하세요!</v>
          </cell>
          <cell r="E294">
            <v>200</v>
          </cell>
        </row>
        <row r="295">
          <cell r="A295" t="str">
            <v>SI1630_20250812</v>
          </cell>
          <cell r="B295">
            <v>45881</v>
          </cell>
          <cell r="C295" t="str">
            <v>설화수 진설명작크림 (견) 5ML (AD 외캡</v>
          </cell>
          <cell r="D295" t="str">
            <v>T2 시사출 후가공, 조립을 위해 수량 200개로 요청합니다.</v>
          </cell>
          <cell r="E295">
            <v>200</v>
          </cell>
          <cell r="G295" t="str">
            <v>SI1630</v>
          </cell>
          <cell r="H295" t="str">
            <v>A6869</v>
          </cell>
          <cell r="I295" t="str">
            <v>M251180_01</v>
          </cell>
          <cell r="J295" t="str">
            <v>ABS (롯데첨단소재 MP-0670)</v>
          </cell>
        </row>
        <row r="296">
          <cell r="A296" t="str">
            <v>SI1631_20250812</v>
          </cell>
          <cell r="B296">
            <v>45881</v>
          </cell>
          <cell r="C296" t="str">
            <v>설화수 진설명작크림 (견) 5ML (AD 내캡</v>
          </cell>
          <cell r="D296" t="str">
            <v xml:space="preserve">T2 시사출 </v>
          </cell>
          <cell r="E296">
            <v>200</v>
          </cell>
          <cell r="G296" t="str">
            <v>SI1631</v>
          </cell>
          <cell r="H296" t="str">
            <v>A6869</v>
          </cell>
          <cell r="I296" t="str">
            <v>M251179_01</v>
          </cell>
          <cell r="J296" t="str">
            <v>PP (대한유화 4017) (30%)
PP (다원소재 DW-2360) (70%)</v>
          </cell>
        </row>
        <row r="297">
          <cell r="A297" t="str">
            <v>SI1632_20250812</v>
          </cell>
          <cell r="B297">
            <v>45881</v>
          </cell>
          <cell r="C297" t="str">
            <v>설화수 진설명작크림 (견) 5ML (AD 단용기</v>
          </cell>
          <cell r="D297" t="str">
            <v xml:space="preserve">T2 시사출 </v>
          </cell>
          <cell r="E297">
            <v>200</v>
          </cell>
          <cell r="G297" t="str">
            <v>SI1632</v>
          </cell>
          <cell r="H297" t="str">
            <v>A6869</v>
          </cell>
          <cell r="I297" t="str">
            <v>M251181_01</v>
          </cell>
          <cell r="J297" t="str">
            <v>PP (롯데케미칼 J-560S)</v>
          </cell>
        </row>
        <row r="298">
          <cell r="A298" t="str">
            <v>SI1633_20250812</v>
          </cell>
          <cell r="B298">
            <v>45881</v>
          </cell>
          <cell r="C298" t="str">
            <v>설화수 진설명작크림 (견) 5ML (AD 용기받침</v>
          </cell>
          <cell r="D298" t="str">
            <v xml:space="preserve">T2 시사출 </v>
          </cell>
          <cell r="E298">
            <v>200</v>
          </cell>
          <cell r="G298" t="str">
            <v>SI1633</v>
          </cell>
          <cell r="H298" t="str">
            <v>A6869</v>
          </cell>
          <cell r="I298" t="str">
            <v>M251182_01</v>
          </cell>
          <cell r="J298" t="str">
            <v>ABS (롯데첨단소재 MP-0670)</v>
          </cell>
        </row>
        <row r="299">
          <cell r="A299" t="str">
            <v>SI1629_20250812</v>
          </cell>
          <cell r="B299">
            <v>45881</v>
          </cell>
          <cell r="C299" t="str">
            <v>설화수 진설명작크림 (견) 10ML (AD 사출덮개</v>
          </cell>
          <cell r="D299" t="str">
            <v xml:space="preserve">T2 시사출 </v>
          </cell>
          <cell r="E299">
            <v>200</v>
          </cell>
          <cell r="G299" t="str">
            <v>SI1629</v>
          </cell>
          <cell r="H299" t="str">
            <v>A6868</v>
          </cell>
          <cell r="I299" t="str">
            <v>M251178_01</v>
          </cell>
          <cell r="J299" t="str">
            <v>Hytrel (Dupont H7246)</v>
          </cell>
        </row>
        <row r="300">
          <cell r="A300" t="str">
            <v>SI1625_20250812</v>
          </cell>
          <cell r="B300">
            <v>45881</v>
          </cell>
          <cell r="C300" t="str">
            <v>설화수 진설명작크림 (견) 10ML (AD 외캡</v>
          </cell>
          <cell r="D300" t="str">
            <v xml:space="preserve">T2 시사출 </v>
          </cell>
          <cell r="E300">
            <v>200</v>
          </cell>
          <cell r="G300" t="str">
            <v>SI1625</v>
          </cell>
          <cell r="H300" t="str">
            <v>A6868</v>
          </cell>
          <cell r="I300" t="str">
            <v>M251175_01</v>
          </cell>
          <cell r="J300" t="str">
            <v>ABS (롯데첨단소재 MP-0670)</v>
          </cell>
        </row>
        <row r="301">
          <cell r="A301" t="str">
            <v>SI1626_20250812</v>
          </cell>
          <cell r="B301">
            <v>45881</v>
          </cell>
          <cell r="C301" t="str">
            <v>설화수 진설명작크림 (견) 10ML (AD 내캡</v>
          </cell>
          <cell r="D301" t="str">
            <v xml:space="preserve">T2 시사출 </v>
          </cell>
          <cell r="E301">
            <v>200</v>
          </cell>
          <cell r="G301" t="str">
            <v>SI1626</v>
          </cell>
          <cell r="H301" t="str">
            <v>A6868</v>
          </cell>
          <cell r="I301" t="str">
            <v>M251174_01</v>
          </cell>
          <cell r="J301" t="str">
            <v>"PP (대한유화 4017) (30%)
PP (다원소재 DW-2360) (70%)"</v>
          </cell>
        </row>
        <row r="302">
          <cell r="A302" t="str">
            <v>SI1628_20250812</v>
          </cell>
          <cell r="B302">
            <v>45881</v>
          </cell>
          <cell r="C302" t="str">
            <v>설화수 진설명작크림 (견) 10ML (AD 단용기</v>
          </cell>
          <cell r="D302" t="str">
            <v xml:space="preserve">T2 시사출 </v>
          </cell>
          <cell r="E302">
            <v>200</v>
          </cell>
          <cell r="G302" t="str">
            <v>SI1628</v>
          </cell>
          <cell r="H302" t="str">
            <v>A6868</v>
          </cell>
          <cell r="I302" t="str">
            <v>M251177_01</v>
          </cell>
          <cell r="J302" t="str">
            <v>PP (롯데케미칼 J-560S)</v>
          </cell>
        </row>
        <row r="303">
          <cell r="A303" t="str">
            <v>SI1627_20250812</v>
          </cell>
          <cell r="B303">
            <v>45881</v>
          </cell>
          <cell r="C303" t="str">
            <v>설화수 진설명작크림 (견) 10ML (AD 용기받침</v>
          </cell>
          <cell r="D303" t="str">
            <v xml:space="preserve">T2 시사출 </v>
          </cell>
          <cell r="E303">
            <v>200</v>
          </cell>
          <cell r="G303" t="str">
            <v>SI1627</v>
          </cell>
          <cell r="H303" t="str">
            <v>A6868</v>
          </cell>
          <cell r="I303" t="str">
            <v>M251176_01</v>
          </cell>
          <cell r="J303" t="str">
            <v>ABS (롯데첨단소재 MP-0670)</v>
          </cell>
        </row>
        <row r="304">
          <cell r="A304" t="str">
            <v>SI1629_20250812</v>
          </cell>
          <cell r="B304">
            <v>45881</v>
          </cell>
          <cell r="C304" t="str">
            <v>설화수 진설명작크림 (견) 10ML (AD 사출덮개</v>
          </cell>
          <cell r="D304" t="str">
            <v xml:space="preserve">T2 시사출 </v>
          </cell>
          <cell r="E304">
            <v>200</v>
          </cell>
          <cell r="G304" t="str">
            <v>SI1629</v>
          </cell>
          <cell r="H304" t="str">
            <v>A6868</v>
          </cell>
          <cell r="I304" t="str">
            <v>M251178_01</v>
          </cell>
          <cell r="J304" t="str">
            <v>Hytrel (Dupont H7246)</v>
          </cell>
        </row>
        <row r="305">
          <cell r="A305" t="str">
            <v>SI1614_20250812</v>
          </cell>
          <cell r="B305">
            <v>45881</v>
          </cell>
          <cell r="C305" t="str">
            <v>설화수 진설명작크림 60ML (26AD 내캡</v>
          </cell>
          <cell r="D305" t="str">
            <v xml:space="preserve">T2 시사출 </v>
          </cell>
          <cell r="E305">
            <v>200</v>
          </cell>
          <cell r="F305"/>
          <cell r="G305" t="str">
            <v>SI1614</v>
          </cell>
          <cell r="H305" t="str">
            <v>A6867</v>
          </cell>
          <cell r="I305" t="str">
            <v>M251184_01</v>
          </cell>
          <cell r="J305" t="str">
            <v>PP (대한유화 4017) (30%)
PP (다원소재 DW-2360) (70%)</v>
          </cell>
        </row>
        <row r="306">
          <cell r="A306" t="str">
            <v>SI1615_20250812</v>
          </cell>
          <cell r="B306">
            <v>45881</v>
          </cell>
          <cell r="C306" t="str">
            <v>설화수 진설명작크림 60ML (26AD 캡장식-하단링</v>
          </cell>
          <cell r="D306" t="str">
            <v xml:space="preserve">T2 시사출 </v>
          </cell>
          <cell r="E306">
            <v>200</v>
          </cell>
          <cell r="F306"/>
          <cell r="G306" t="str">
            <v>SI1615</v>
          </cell>
          <cell r="H306" t="str">
            <v>A6867</v>
          </cell>
          <cell r="I306" t="str">
            <v>M251185_01</v>
          </cell>
          <cell r="J306" t="str">
            <v>ABS (롯데첨단소재 MP-0670)</v>
          </cell>
        </row>
        <row r="307">
          <cell r="A307" t="str">
            <v>SI1616_20250812</v>
          </cell>
          <cell r="B307">
            <v>45881</v>
          </cell>
          <cell r="C307" t="str">
            <v>설화수 진설명작크림 60ML (26AD 사출덮개</v>
          </cell>
          <cell r="D307" t="str">
            <v xml:space="preserve">T2 시사출 </v>
          </cell>
          <cell r="E307">
            <v>200</v>
          </cell>
          <cell r="F307"/>
          <cell r="G307" t="str">
            <v>SI1616</v>
          </cell>
          <cell r="H307" t="str">
            <v>A6867</v>
          </cell>
          <cell r="I307" t="str">
            <v>M251186_01</v>
          </cell>
          <cell r="J307" t="str">
            <v>Hytrel (Dupont H7246)</v>
          </cell>
        </row>
        <row r="308">
          <cell r="A308" t="str">
            <v>SI1617_20250812</v>
          </cell>
          <cell r="B308">
            <v>45881</v>
          </cell>
          <cell r="C308" t="str">
            <v>설화수 진설명작크림 60ML (26AD 중용기</v>
          </cell>
          <cell r="D308" t="str">
            <v xml:space="preserve">T2 시사출 </v>
          </cell>
          <cell r="E308">
            <v>200</v>
          </cell>
          <cell r="F308"/>
          <cell r="G308" t="str">
            <v>SI1617</v>
          </cell>
          <cell r="H308" t="str">
            <v>A6867</v>
          </cell>
          <cell r="I308" t="str">
            <v>M251188_01</v>
          </cell>
          <cell r="J308" t="str">
            <v>ABS (롯데첨단소재 MP-0670)</v>
          </cell>
        </row>
        <row r="309">
          <cell r="A309" t="str">
            <v>SI1618_20250812</v>
          </cell>
          <cell r="B309">
            <v>45881</v>
          </cell>
          <cell r="C309" t="str">
            <v>설화수 진설명작크림 60ML (26AD 내용기</v>
          </cell>
          <cell r="D309" t="str">
            <v xml:space="preserve">T2 시사출 </v>
          </cell>
          <cell r="E309">
            <v>200</v>
          </cell>
          <cell r="F309"/>
          <cell r="G309" t="str">
            <v>SI1618</v>
          </cell>
          <cell r="H309" t="str">
            <v>A6867</v>
          </cell>
          <cell r="I309" t="str">
            <v>M251187_01</v>
          </cell>
          <cell r="J309" t="str">
            <v>PP (롯데케미칼 J-560S)</v>
          </cell>
        </row>
        <row r="310">
          <cell r="A310" t="str">
            <v>SI1619_20250812</v>
          </cell>
          <cell r="B310">
            <v>45881</v>
          </cell>
          <cell r="C310" t="str">
            <v>설화수 진설명작크림 60ML (26AD 외용기</v>
          </cell>
          <cell r="D310" t="str">
            <v xml:space="preserve">T2 시사출 </v>
          </cell>
          <cell r="E310">
            <v>200</v>
          </cell>
          <cell r="F310"/>
          <cell r="G310" t="str">
            <v>SI1619</v>
          </cell>
          <cell r="H310" t="str">
            <v>A6867</v>
          </cell>
          <cell r="I310" t="str">
            <v>M251189_01</v>
          </cell>
          <cell r="J310" t="str">
            <v>PETG (SK케미칼 PN200)</v>
          </cell>
        </row>
        <row r="311">
          <cell r="A311" t="str">
            <v>SI1620_20250812</v>
          </cell>
          <cell r="B311">
            <v>45881</v>
          </cell>
          <cell r="C311" t="str">
            <v>설화수 진설명작크림 60ML (26AD 용기받침 사출</v>
          </cell>
          <cell r="D311" t="str">
            <v xml:space="preserve">T2 시사출 </v>
          </cell>
          <cell r="E311">
            <v>200</v>
          </cell>
          <cell r="F311"/>
          <cell r="G311" t="str">
            <v>SI1620</v>
          </cell>
          <cell r="H311" t="str">
            <v>A6867</v>
          </cell>
          <cell r="I311" t="str">
            <v>M251190_01</v>
          </cell>
          <cell r="J311" t="str">
            <v>ABS (롯데첨단소재 MP-0670)</v>
          </cell>
        </row>
        <row r="312">
          <cell r="A312" t="str">
            <v>SI1621_20250812</v>
          </cell>
          <cell r="B312">
            <v>45881</v>
          </cell>
          <cell r="C312" t="str">
            <v>설화수 진설명작크림 60ML (26AD 숄더장식 사출</v>
          </cell>
          <cell r="D312" t="str">
            <v xml:space="preserve">T2 시사출 </v>
          </cell>
          <cell r="E312">
            <v>200</v>
          </cell>
          <cell r="F312"/>
          <cell r="G312" t="str">
            <v>SI1621</v>
          </cell>
          <cell r="H312" t="str">
            <v>A6867</v>
          </cell>
          <cell r="I312" t="str">
            <v>M251191_01</v>
          </cell>
          <cell r="J312" t="str">
            <v>ABS (롯데첨단소재 MP-0670)</v>
          </cell>
        </row>
        <row r="313">
          <cell r="A313" t="str">
            <v>SI1622_20250812</v>
          </cell>
          <cell r="B313">
            <v>45881</v>
          </cell>
          <cell r="C313" t="str">
            <v>설화수 진설명작크림 60ML (26AD 스파츌러대 사출</v>
          </cell>
          <cell r="D313" t="str">
            <v xml:space="preserve">T2 시사출 </v>
          </cell>
          <cell r="E313">
            <v>200</v>
          </cell>
          <cell r="F313"/>
          <cell r="G313" t="str">
            <v>SI1622</v>
          </cell>
          <cell r="H313" t="str">
            <v>A6867</v>
          </cell>
          <cell r="I313" t="str">
            <v>M251192_01</v>
          </cell>
          <cell r="J313" t="str">
            <v>ABS (롯데첨단소재 MP-0670)</v>
          </cell>
        </row>
        <row r="314">
          <cell r="A314" t="str">
            <v>SI1623_20250812</v>
          </cell>
          <cell r="B314">
            <v>45881</v>
          </cell>
          <cell r="C314" t="str">
            <v>설화수 진설명작크림 리필 60ML (26AD 단캡</v>
          </cell>
          <cell r="D314" t="str">
            <v xml:space="preserve">T2 시사출 </v>
          </cell>
          <cell r="E314">
            <v>200</v>
          </cell>
          <cell r="F314"/>
          <cell r="G314" t="str">
            <v>SI1623</v>
          </cell>
          <cell r="H314" t="str">
            <v>A6867, A6871</v>
          </cell>
          <cell r="I314" t="str">
            <v>M251217_01</v>
          </cell>
          <cell r="J314" t="str">
            <v>PETG (SK케미칼 PN200)</v>
          </cell>
        </row>
        <row r="315">
          <cell r="A315" t="str">
            <v>_20250820</v>
          </cell>
          <cell r="B315">
            <v>45889</v>
          </cell>
          <cell r="C315" t="str">
            <v>헤라 시그니아 아이크림 5ml - 단캡</v>
          </cell>
          <cell r="D315" t="str">
            <v>T1 시사출, 금형 21일 입고 예정. 입고되면 진행해주세요</v>
          </cell>
          <cell r="E315">
            <v>100</v>
          </cell>
          <cell r="F315">
            <v>45891</v>
          </cell>
        </row>
        <row r="316">
          <cell r="A316" t="str">
            <v>_20250820</v>
          </cell>
          <cell r="B316">
            <v>45889</v>
          </cell>
          <cell r="C316" t="str">
            <v>헤라 시그니아 아이크림 5ml - 외용기</v>
          </cell>
          <cell r="D316" t="str">
            <v>T1 시사출, 금형 21일 입고 예정. 입고되면 진행해주세요</v>
          </cell>
          <cell r="E316">
            <v>100</v>
          </cell>
          <cell r="F316">
            <v>45891</v>
          </cell>
        </row>
        <row r="317">
          <cell r="A317" t="str">
            <v>_20250820</v>
          </cell>
          <cell r="B317">
            <v>45889</v>
          </cell>
          <cell r="C317" t="str">
            <v>헤라 시그니아 아이크림 5ml - 내용기</v>
          </cell>
          <cell r="D317" t="str">
            <v>T1 시사출, 금형 21일 입고 예정. 입고되면 진행해주세요</v>
          </cell>
          <cell r="E317">
            <v>100</v>
          </cell>
          <cell r="F317">
            <v>45891</v>
          </cell>
        </row>
        <row r="318">
          <cell r="A318" t="str">
            <v>_20250820</v>
          </cell>
          <cell r="B318">
            <v>45889</v>
          </cell>
          <cell r="C318" t="str">
            <v>헤라 시그니아 유스퍼밍 아이크림 15ml 외캡</v>
          </cell>
          <cell r="D318" t="str">
            <v>T1 시사출, 금형 21일 입고 예정. 입고되면 진행해주세요</v>
          </cell>
          <cell r="E318">
            <v>100</v>
          </cell>
          <cell r="F318">
            <v>45891</v>
          </cell>
        </row>
        <row r="319">
          <cell r="A319" t="str">
            <v>_20250820</v>
          </cell>
          <cell r="B319">
            <v>45889</v>
          </cell>
          <cell r="C319" t="str">
            <v>헤라 시그니아 유스퍼밍 아이크림 15ml 내캡</v>
          </cell>
          <cell r="D319" t="str">
            <v>T1 시사출, 금형 21일 입고 예정. 입고되면 진행해주세요</v>
          </cell>
          <cell r="E319">
            <v>100</v>
          </cell>
          <cell r="F319">
            <v>45891</v>
          </cell>
        </row>
        <row r="320">
          <cell r="A320" t="str">
            <v>_20250820</v>
          </cell>
          <cell r="B320">
            <v>45889</v>
          </cell>
          <cell r="C320" t="str">
            <v>헤라 시그니아 유스퍼밍 아이크림 15ml 외용기</v>
          </cell>
          <cell r="D320" t="str">
            <v>T1 시사출, 금형 21일 입고 예정. 입고되면 진행해주세요</v>
          </cell>
          <cell r="E320">
            <v>100</v>
          </cell>
          <cell r="F320">
            <v>45891</v>
          </cell>
        </row>
        <row r="321">
          <cell r="A321" t="str">
            <v>_20250820</v>
          </cell>
          <cell r="B321">
            <v>45889</v>
          </cell>
          <cell r="C321" t="str">
            <v>헤라 시그니아 유스퍼밍 아이크림 15ml 내용기</v>
          </cell>
          <cell r="D321" t="str">
            <v>T1 시사출, 금형 21일 입고 예정. 입고되면 진행해주세요</v>
          </cell>
          <cell r="E321">
            <v>100</v>
          </cell>
          <cell r="F321">
            <v>45891</v>
          </cell>
        </row>
        <row r="322">
          <cell r="B322">
            <v>45894</v>
          </cell>
          <cell r="C322" t="str">
            <v>홀리추얼 울트라 너리싱 어드밴스드 토너 150ML 내캡</v>
          </cell>
          <cell r="D322" t="str">
            <v>초도 대응 완료 후 4017로 원료 바꿔서 나사내경 치수 맞게 사출(MB 확인), 샘플 참고(나사경치수)!!!</v>
          </cell>
          <cell r="E322">
            <v>200</v>
          </cell>
          <cell r="F322"/>
          <cell r="G322" t="str">
            <v>SI1611</v>
          </cell>
          <cell r="H322" t="str">
            <v>A6866</v>
          </cell>
          <cell r="I322" t="str">
            <v>M251166_01</v>
          </cell>
        </row>
        <row r="323">
          <cell r="B323">
            <v>45891</v>
          </cell>
          <cell r="C323" t="str">
            <v>7513834 에이피PR리트리니티 에센스 로션150ML 숄더</v>
          </cell>
          <cell r="D323" t="str">
            <v>신제품 증착색상 - 빠른 진행부탁드려요</v>
          </cell>
          <cell r="E323">
            <v>200</v>
          </cell>
          <cell r="F323">
            <v>45908</v>
          </cell>
          <cell r="G323" t="str">
            <v>SI1380</v>
          </cell>
          <cell r="I323" t="str">
            <v>M221038</v>
          </cell>
        </row>
        <row r="324">
          <cell r="B324">
            <v>45904</v>
          </cell>
          <cell r="C324" t="str">
            <v>헤라미니쿠션 상용기</v>
          </cell>
          <cell r="D324" t="str">
            <v>(흰색 사출!!)신제품 개발을 위해서 디자인측 색상뿌리는 용도와 개발쪽 라인에 시험해볼게 있다고 합니다.</v>
          </cell>
          <cell r="E324">
            <v>300</v>
          </cell>
          <cell r="F324">
            <v>45911</v>
          </cell>
        </row>
        <row r="325">
          <cell r="B325">
            <v>45904</v>
          </cell>
          <cell r="C325" t="str">
            <v>헤라미니쿠션 하용기</v>
          </cell>
          <cell r="D325" t="str">
            <v>(흰색 사출!!) 모두 글로우쿠션 금형으로 진행해도 무방합니다.</v>
          </cell>
          <cell r="E325">
            <v>300</v>
          </cell>
          <cell r="F325">
            <v>45911</v>
          </cell>
        </row>
        <row r="326">
          <cell r="B326">
            <v>45905</v>
          </cell>
          <cell r="C326" t="str">
            <v>헤라미니쿠션 리필상용기</v>
          </cell>
          <cell r="D326" t="str">
            <v xml:space="preserve">(흰색 사출!!) </v>
          </cell>
          <cell r="E326">
            <v>100</v>
          </cell>
          <cell r="F326">
            <v>45911</v>
          </cell>
        </row>
        <row r="327">
          <cell r="B327">
            <v>45905</v>
          </cell>
          <cell r="C327" t="str">
            <v>헤라미니쿠션 리필하용기</v>
          </cell>
          <cell r="D327" t="str">
            <v xml:space="preserve">(흰색 사출!!) </v>
          </cell>
          <cell r="E327">
            <v>100</v>
          </cell>
          <cell r="F327">
            <v>45911</v>
          </cell>
        </row>
        <row r="328">
          <cell r="A328" t="str">
            <v>SI1632_20250908</v>
          </cell>
          <cell r="B328">
            <v>45908</v>
          </cell>
          <cell r="C328" t="str">
            <v>설화수 진설명작크림 (견) 5ML (AD 단용기</v>
          </cell>
          <cell r="D328" t="str">
            <v>T3 시사출 - 언더컷 하단 높이 조정</v>
          </cell>
          <cell r="E328">
            <v>100</v>
          </cell>
          <cell r="G328" t="str">
            <v>SI1632</v>
          </cell>
          <cell r="H328" t="str">
            <v>A6869</v>
          </cell>
          <cell r="I328" t="str">
            <v>M251181_01</v>
          </cell>
          <cell r="J328" t="str">
            <v>PP (롯데케미칼 J-560S)</v>
          </cell>
        </row>
        <row r="329">
          <cell r="A329" t="str">
            <v>SI1634_20250908</v>
          </cell>
          <cell r="B329">
            <v>45908</v>
          </cell>
          <cell r="C329" t="str">
            <v>설화수 진설명작크림 (견) 5ML (AD 사출덮개</v>
          </cell>
          <cell r="D329" t="str">
            <v>T3 시사출 - 고광택 래핑, 치수 변경(외경 키움)</v>
          </cell>
          <cell r="E329">
            <v>100</v>
          </cell>
          <cell r="F329"/>
          <cell r="G329" t="str">
            <v>SI1634</v>
          </cell>
          <cell r="H329" t="str">
            <v>A6869</v>
          </cell>
          <cell r="I329" t="str">
            <v>M251183_01</v>
          </cell>
          <cell r="J329" t="str">
            <v>Hytrel (Dupont H7246)</v>
          </cell>
        </row>
        <row r="330">
          <cell r="A330" t="str">
            <v>SI1629_20250908</v>
          </cell>
          <cell r="B330">
            <v>45908</v>
          </cell>
          <cell r="C330" t="str">
            <v>설화수 진설명작크림 (견) 10ML (AD 사출덮개</v>
          </cell>
          <cell r="D330" t="str">
            <v>T3 시사출 - 고광택 래핑, 치수 변경(외경 키움)</v>
          </cell>
          <cell r="E330">
            <v>100</v>
          </cell>
          <cell r="G330" t="str">
            <v>SI1629</v>
          </cell>
          <cell r="H330" t="str">
            <v>A6868</v>
          </cell>
          <cell r="I330" t="str">
            <v>M251178_01</v>
          </cell>
          <cell r="J330" t="str">
            <v>Hytrel (Dupont H7246)</v>
          </cell>
        </row>
        <row r="331">
          <cell r="A331" t="str">
            <v>SI1628_20250908</v>
          </cell>
          <cell r="B331">
            <v>45908</v>
          </cell>
          <cell r="C331" t="str">
            <v>설화수 진설명작크림 (견) 10ML (AD 단용기</v>
          </cell>
          <cell r="D331" t="str">
            <v>T3 시사출 - 언더컷 하단 높이 조정</v>
          </cell>
          <cell r="E331">
            <v>100</v>
          </cell>
          <cell r="G331" t="str">
            <v>SI1628</v>
          </cell>
          <cell r="H331" t="str">
            <v>A6868</v>
          </cell>
          <cell r="I331" t="str">
            <v>M251177_01</v>
          </cell>
          <cell r="J331" t="str">
            <v>PP (롯데케미칼 J-560S)</v>
          </cell>
        </row>
        <row r="332">
          <cell r="A332" t="str">
            <v>SI1614_20250908</v>
          </cell>
          <cell r="B332">
            <v>45908</v>
          </cell>
          <cell r="C332" t="str">
            <v>설화수 진설명작크림 60ML (26AD 내캡</v>
          </cell>
          <cell r="D332" t="str">
            <v>T3 시사출 - 언더컷 외경 조정, 캡장식 조립부 외경 조정 등</v>
          </cell>
          <cell r="E332">
            <v>100</v>
          </cell>
          <cell r="F332"/>
          <cell r="G332" t="str">
            <v>SI1614</v>
          </cell>
          <cell r="H332" t="str">
            <v>A6867</v>
          </cell>
          <cell r="I332" t="str">
            <v>M251184_01</v>
          </cell>
          <cell r="J332" t="str">
            <v>PP (대한유화 4017) (30%)
PP (다원소재 DW-2360) (70%)</v>
          </cell>
        </row>
        <row r="333">
          <cell r="A333" t="str">
            <v>SI1615_20250908</v>
          </cell>
          <cell r="B333">
            <v>45908</v>
          </cell>
          <cell r="C333" t="str">
            <v>설화수 진설명작크림 60ML (26AD 캡장식-하단링</v>
          </cell>
          <cell r="D333" t="str">
            <v>T3 시사출 - 로봇추출 안되던 것 수정, 게이트키움</v>
          </cell>
          <cell r="E333">
            <v>100</v>
          </cell>
          <cell r="F333">
            <v>45906</v>
          </cell>
          <cell r="G333" t="str">
            <v>SI1615</v>
          </cell>
          <cell r="H333" t="str">
            <v>A6867</v>
          </cell>
          <cell r="I333" t="str">
            <v>M251185_01</v>
          </cell>
          <cell r="J333" t="str">
            <v>ABS (롯데첨단소재 MP-0670)</v>
          </cell>
        </row>
        <row r="334">
          <cell r="A334" t="str">
            <v>SI1616_20250908</v>
          </cell>
          <cell r="B334">
            <v>45908</v>
          </cell>
          <cell r="C334" t="str">
            <v>설화수 진설명작크림 60ML (26AD 사출덮개</v>
          </cell>
          <cell r="D334" t="str">
            <v>T3 시사출 - 코어변경, 추출방식 변경</v>
          </cell>
          <cell r="E334">
            <v>100</v>
          </cell>
          <cell r="F334"/>
          <cell r="G334" t="str">
            <v>SI1616</v>
          </cell>
          <cell r="H334" t="str">
            <v>A6867</v>
          </cell>
          <cell r="I334" t="str">
            <v>M251186_01</v>
          </cell>
          <cell r="J334" t="str">
            <v>Hytrel (Dupont H7246)</v>
          </cell>
        </row>
        <row r="335">
          <cell r="A335" t="str">
            <v>SI1618_20250908</v>
          </cell>
          <cell r="B335">
            <v>45908</v>
          </cell>
          <cell r="C335" t="str">
            <v>설화수 진설명작크림 60ML (26AD 내용기</v>
          </cell>
          <cell r="D335" t="str">
            <v>T3 시사출 - 스토퍼 생성, 언더컷 까임 개선</v>
          </cell>
          <cell r="E335">
            <v>100</v>
          </cell>
          <cell r="F335"/>
          <cell r="G335" t="str">
            <v>SI1618</v>
          </cell>
          <cell r="H335" t="str">
            <v>A6867</v>
          </cell>
          <cell r="I335" t="str">
            <v>M251187_01</v>
          </cell>
          <cell r="J335" t="str">
            <v>PP (롯데케미칼 J-560S)</v>
          </cell>
        </row>
        <row r="336">
          <cell r="A336" t="str">
            <v>SI1619_20250908</v>
          </cell>
          <cell r="B336">
            <v>45908</v>
          </cell>
          <cell r="C336" t="str">
            <v>설화수 진설명작크림 60ML (26AD 외용기</v>
          </cell>
          <cell r="D336" t="str">
            <v>T3 시사출 - 웰드라인 개선 필요</v>
          </cell>
          <cell r="E336">
            <v>100</v>
          </cell>
          <cell r="F336"/>
          <cell r="G336" t="str">
            <v>SI1619</v>
          </cell>
          <cell r="H336" t="str">
            <v>A6867</v>
          </cell>
          <cell r="I336" t="str">
            <v>M251189_01</v>
          </cell>
          <cell r="J336" t="str">
            <v>PETG (SK케미칼 PN200)</v>
          </cell>
        </row>
        <row r="337">
          <cell r="A337" t="str">
            <v>SI1620_20250908</v>
          </cell>
          <cell r="B337">
            <v>45908</v>
          </cell>
          <cell r="C337" t="str">
            <v>설화수 진설명작크림 60ML (26AD 용기받침 사출</v>
          </cell>
          <cell r="D337" t="str">
            <v>T3 시사출 - 가중블럭 언더컷 키움</v>
          </cell>
          <cell r="E337">
            <v>100</v>
          </cell>
          <cell r="F337">
            <v>45906</v>
          </cell>
          <cell r="G337" t="str">
            <v>SI1620</v>
          </cell>
          <cell r="H337" t="str">
            <v>A6867</v>
          </cell>
          <cell r="I337" t="str">
            <v>M251190_01</v>
          </cell>
          <cell r="J337" t="str">
            <v>ABS (롯데첨단소재 MP-0670)</v>
          </cell>
        </row>
        <row r="338">
          <cell r="A338" t="str">
            <v>SI1622_20250908</v>
          </cell>
          <cell r="B338">
            <v>45908</v>
          </cell>
          <cell r="C338" t="str">
            <v>설화수 진설명작크림 60ML (26AD 스파츌러대 사출</v>
          </cell>
          <cell r="D338" t="str">
            <v>T3 시사출 - 수정되고나면 사출 예정입니다. 아직 수정사항 없음</v>
          </cell>
          <cell r="E338">
            <v>100</v>
          </cell>
          <cell r="F338"/>
          <cell r="G338" t="str">
            <v>SI1622</v>
          </cell>
          <cell r="H338" t="str">
            <v>A6867</v>
          </cell>
          <cell r="I338" t="str">
            <v>M251192_01</v>
          </cell>
          <cell r="J338" t="str">
            <v>ABS (롯데첨단소재 MP-0670)</v>
          </cell>
        </row>
        <row r="339">
          <cell r="A339" t="str">
            <v>SI1623_20250908</v>
          </cell>
          <cell r="B339">
            <v>45908</v>
          </cell>
          <cell r="C339" t="str">
            <v>설화수 진설명작크림 리필 60ML (26AD 단캡</v>
          </cell>
          <cell r="D339" t="str">
            <v xml:space="preserve">T3 시사출 </v>
          </cell>
          <cell r="E339">
            <v>100</v>
          </cell>
          <cell r="F339"/>
          <cell r="G339" t="str">
            <v>SI1623</v>
          </cell>
          <cell r="H339" t="str">
            <v>A6867, A6871</v>
          </cell>
          <cell r="I339" t="str">
            <v>M251217_01</v>
          </cell>
          <cell r="J339" t="str">
            <v>PETG (SK케미칼 PN200)</v>
          </cell>
        </row>
        <row r="340">
          <cell r="A340" t="str">
            <v>_20250908</v>
          </cell>
          <cell r="B340">
            <v>45908</v>
          </cell>
          <cell r="C340" t="str">
            <v>헤라 시그니아 아이크림 5ml - 단캡</v>
          </cell>
          <cell r="D340" t="str">
            <v>T2 시사출 - 나사 30도 연장(캡뜨임 때문 수정)</v>
          </cell>
          <cell r="E340">
            <v>250</v>
          </cell>
          <cell r="F340"/>
        </row>
        <row r="341">
          <cell r="A341" t="str">
            <v>_20250908</v>
          </cell>
          <cell r="B341">
            <v>45908</v>
          </cell>
          <cell r="C341" t="str">
            <v>헤라 시그니아 아이크림 5ml - 외용기</v>
          </cell>
          <cell r="D341" t="str">
            <v>T2 시사출 - 언더컷 조정, 스파이럴냉각으로 변경</v>
          </cell>
          <cell r="E341">
            <v>250</v>
          </cell>
          <cell r="F341"/>
        </row>
        <row r="342">
          <cell r="A342" t="str">
            <v>_20250908</v>
          </cell>
          <cell r="B342">
            <v>45908</v>
          </cell>
          <cell r="C342" t="str">
            <v>헤라 시그니아 아이크림 5ml - 내용기</v>
          </cell>
          <cell r="D342" t="str">
            <v>T2 시사출 - 언더컷 크게 조정</v>
          </cell>
          <cell r="E342">
            <v>250</v>
          </cell>
          <cell r="F342"/>
        </row>
        <row r="343">
          <cell r="A343" t="str">
            <v>_20250908</v>
          </cell>
          <cell r="B343">
            <v>45908</v>
          </cell>
          <cell r="C343" t="str">
            <v>헤라 시그니아 유스퍼밍 아이크림 15ml 내캡</v>
          </cell>
          <cell r="D343" t="str">
            <v>T2 시사출 - 나사경 키움, 내경</v>
          </cell>
          <cell r="E343">
            <v>250</v>
          </cell>
          <cell r="F343"/>
        </row>
        <row r="344">
          <cell r="A344" t="str">
            <v>_20250908</v>
          </cell>
          <cell r="B344">
            <v>45908</v>
          </cell>
          <cell r="C344" t="str">
            <v>헤라 시그니아 유스퍼밍 아이크림 15ml 외용기</v>
          </cell>
          <cell r="D344" t="str">
            <v>T2 시사출 - 언더컷 조정, 스파이럴냉각으로 변경</v>
          </cell>
          <cell r="E344">
            <v>250</v>
          </cell>
          <cell r="F344"/>
        </row>
        <row r="345">
          <cell r="A345" t="str">
            <v>_20250908</v>
          </cell>
          <cell r="B345">
            <v>45908</v>
          </cell>
          <cell r="C345" t="str">
            <v>헤라 시그니아 유스퍼밍 아이크림 15ml 내용기</v>
          </cell>
          <cell r="D345" t="str">
            <v>T2 시사출 - 언더컷 크게 조정</v>
          </cell>
          <cell r="E345">
            <v>250</v>
          </cell>
          <cell r="F345"/>
        </row>
        <row r="346">
          <cell r="B346">
            <v>45909</v>
          </cell>
          <cell r="C346" t="str">
            <v>에이피 듀얼 리페어 트리트먼트 크림 50ml 외캡</v>
          </cell>
          <cell r="D346" t="str">
            <v>치수를 상한이되도록 사출해주세요(납품샘플 갈림으로 다시 테스트 진행)</v>
          </cell>
          <cell r="E346">
            <v>300</v>
          </cell>
        </row>
        <row r="347">
          <cell r="B347">
            <v>45909</v>
          </cell>
          <cell r="C347" t="str">
            <v>에이피 듀얼 리페어 트리트먼트 크림 50ml 내캡</v>
          </cell>
          <cell r="D347" t="str">
            <v>치수를 상한이되도록 사출해주세요(납품샘플 갈림으로 다시 테스트 진행)</v>
          </cell>
          <cell r="E347">
            <v>150</v>
          </cell>
        </row>
        <row r="348">
          <cell r="B348">
            <v>45909</v>
          </cell>
          <cell r="C348" t="str">
            <v>에이피 듀얼 리페어 트리트먼트 크림 50ml 내캡</v>
          </cell>
          <cell r="D348" t="str">
            <v>POK로도 찍어달라고 합니다. 치수를 상한이 되도록 사출해주세요</v>
          </cell>
          <cell r="E348">
            <v>150</v>
          </cell>
        </row>
        <row r="349">
          <cell r="B349">
            <v>45915</v>
          </cell>
          <cell r="C349" t="str">
            <v>라네즈유스콜라겐드링크 캡</v>
          </cell>
          <cell r="D349" t="str">
            <v>색상실험(MB입고되어 있음) 색상 타겟에 맞게 사출요청(%별 각 200개)</v>
          </cell>
          <cell r="E349">
            <v>600</v>
          </cell>
          <cell r="F349">
            <v>45923</v>
          </cell>
        </row>
        <row r="350">
          <cell r="B350">
            <v>45918</v>
          </cell>
          <cell r="C350" t="str">
            <v>아이오페 바이오유스액티브크림_50ML(23 캡2224 (1)</v>
          </cell>
          <cell r="D350" t="str">
            <v>김성은 디자이너 요청, 신제품 개발 목업용 필요 - 흰색으로 사출요망</v>
          </cell>
          <cell r="E350">
            <v>100</v>
          </cell>
          <cell r="F350" t="str">
            <v>보류</v>
          </cell>
        </row>
        <row r="351">
          <cell r="B351">
            <v>45918</v>
          </cell>
          <cell r="C351" t="str">
            <v>아이오페 바이오유스액티브 크림 50ML 리필 용기</v>
          </cell>
          <cell r="D351" t="str">
            <v>김성은 디자이너 요청, 신제품 개발 목업용 필요 - 흰색으로 사출요망</v>
          </cell>
          <cell r="E351">
            <v>100</v>
          </cell>
          <cell r="F351" t="str">
            <v>보류</v>
          </cell>
        </row>
        <row r="352">
          <cell r="B352">
            <v>45923</v>
          </cell>
          <cell r="C352" t="str">
            <v>7513834 에이피PR리트리니티 에센스 로션150ML 숄더</v>
          </cell>
          <cell r="D352" t="str">
            <v>신제품 증착색상 - 1차 제출분 색상 다시맞추랍니다. 타겟보다 진하다고 합니다</v>
          </cell>
          <cell r="E352">
            <v>200</v>
          </cell>
          <cell r="F352">
            <v>45930</v>
          </cell>
          <cell r="G352" t="str">
            <v>SI1380</v>
          </cell>
          <cell r="I352" t="str">
            <v>M221038</v>
          </cell>
        </row>
        <row r="353">
          <cell r="A353" t="str">
            <v>_20250924</v>
          </cell>
          <cell r="B353">
            <v>45924</v>
          </cell>
          <cell r="C353" t="str">
            <v>헤라 시그니아 아이크림 5ml - 단캡</v>
          </cell>
          <cell r="D353" t="str">
            <v>T3 시사출 - 게이트 반대편 자국 없애기 위해 상단면 구배준 것 효과 검증</v>
          </cell>
          <cell r="E353">
            <v>250</v>
          </cell>
          <cell r="F353"/>
        </row>
        <row r="354">
          <cell r="A354" t="str">
            <v>_20250924</v>
          </cell>
          <cell r="B354">
            <v>45924</v>
          </cell>
          <cell r="C354" t="str">
            <v>헤라 시그니아 유스퍼밍 아이크림 15ml 외용기</v>
          </cell>
          <cell r="D354" t="str">
            <v>T3 시사출 - 수정사항 점검</v>
          </cell>
          <cell r="E354">
            <v>250</v>
          </cell>
          <cell r="F354"/>
        </row>
        <row r="355">
          <cell r="B355">
            <v>45925</v>
          </cell>
          <cell r="C355" t="str">
            <v>7554681 홀리추얼 울트라 너리싱 크림 80ML 외캡</v>
          </cell>
          <cell r="D355" t="str">
            <v>손보배님 요청사항 ABS로 사출, MB적용, 치수 및 외관 점검 후 문제없으면 테스트 진행 예정</v>
          </cell>
          <cell r="E355">
            <v>150</v>
          </cell>
        </row>
        <row r="356">
          <cell r="B356">
            <v>45925</v>
          </cell>
          <cell r="C356" t="str">
            <v>7555228  홀리추얼 울트라 너리싱 크림 80ML 스파츌러</v>
          </cell>
          <cell r="D356" t="str">
            <v>손보배님 요청사항 ABS로 사출, MB적용, 치수 및 외관 점검 후 문제없으면 테스트 진행 예정</v>
          </cell>
          <cell r="E356">
            <v>150</v>
          </cell>
        </row>
        <row r="357">
          <cell r="B357">
            <v>45932</v>
          </cell>
          <cell r="C357" t="str">
            <v>홀리추얼 울트라 너리싱 아이크림 30ML 외캡</v>
          </cell>
          <cell r="D357" t="str">
            <v>손보배님 10월 24일까지 시험용 40개, 라인테스트용 100개 사출 요청</v>
          </cell>
          <cell r="E357">
            <v>200</v>
          </cell>
          <cell r="F357">
            <v>45954</v>
          </cell>
          <cell r="H357" t="str">
            <v>A6182</v>
          </cell>
          <cell r="I357" t="str">
            <v>M251317</v>
          </cell>
          <cell r="J357" t="str">
            <v>ABS (롯데첨단소재 MP-0670)</v>
          </cell>
        </row>
        <row r="358">
          <cell r="B358">
            <v>45932</v>
          </cell>
          <cell r="C358" t="str">
            <v>홀리추얼 울트라 너리싱 아이크림 30ML 중캡</v>
          </cell>
          <cell r="D358" t="str">
            <v>손보배님 10월 24일까지 시험용 40개, 라인테스트용 100개 사출 요청</v>
          </cell>
          <cell r="E358">
            <v>200</v>
          </cell>
          <cell r="F358">
            <v>45954</v>
          </cell>
          <cell r="H358" t="str">
            <v>A6182</v>
          </cell>
          <cell r="I358" t="str">
            <v>M251318</v>
          </cell>
          <cell r="J358" t="str">
            <v>ABS (롯데첨단소재 MP-0670)</v>
          </cell>
          <cell r="M358" t="str">
            <v>사상기 샘플 제공해서 상세견적 받아야 합니다. - 견적은 빨리 진행해서 구매팀 여지윤님께 내용 전달해야 합니다.</v>
          </cell>
        </row>
        <row r="359">
          <cell r="B359">
            <v>45932</v>
          </cell>
          <cell r="C359" t="str">
            <v>홀리추얼 울트라 너리싱 아이크림 30ML 내캡</v>
          </cell>
          <cell r="D359" t="str">
            <v>손보배님 10월 24일까지 시험용 40개, 라인테스트용 100개 사출 요청</v>
          </cell>
          <cell r="E359">
            <v>200</v>
          </cell>
          <cell r="F359">
            <v>45954</v>
          </cell>
          <cell r="H359" t="str">
            <v>A6182</v>
          </cell>
          <cell r="I359" t="str">
            <v>M251319</v>
          </cell>
          <cell r="J359" t="str">
            <v>PP (대한유화 4017)</v>
          </cell>
        </row>
        <row r="360">
          <cell r="A360" t="str">
            <v>_20251013</v>
          </cell>
          <cell r="B360">
            <v>45943</v>
          </cell>
          <cell r="C360" t="str">
            <v>헤라 시그니아 유스퍼밍 아이크림 15ml 내용기</v>
          </cell>
          <cell r="D360" t="str">
            <v>코팅 지그 테스트용</v>
          </cell>
          <cell r="E360">
            <v>300</v>
          </cell>
          <cell r="F360">
            <v>45944</v>
          </cell>
          <cell r="M360" t="str">
            <v>14일 사출해서 바로 우창에 이동해서 우창에서 15일 코팅 진행 예정입니다</v>
          </cell>
        </row>
        <row r="361">
          <cell r="A361" t="str">
            <v>_20251013</v>
          </cell>
          <cell r="B361">
            <v>45943</v>
          </cell>
          <cell r="C361" t="str">
            <v>헤라 시그니아 아이크림 5ml - 내용기</v>
          </cell>
          <cell r="D361" t="str">
            <v>금형 수정 후 진행</v>
          </cell>
          <cell r="E361">
            <v>300</v>
          </cell>
          <cell r="F361"/>
        </row>
        <row r="362">
          <cell r="A362" t="str">
            <v>_20251013</v>
          </cell>
          <cell r="B362">
            <v>45943</v>
          </cell>
          <cell r="C362" t="str">
            <v>헤라 시그니아 유스퍼밍 아이크림 15ml 내캡</v>
          </cell>
          <cell r="D362" t="str">
            <v>나사 돌린 후 맞는지 확인해야 하고 이 샘플로 표견 잡아야 함</v>
          </cell>
          <cell r="E362">
            <v>100</v>
          </cell>
          <cell r="F362"/>
        </row>
        <row r="363">
          <cell r="B363">
            <v>45943</v>
          </cell>
          <cell r="C363" t="str">
            <v>라네즈유스콜라겐드링크 캡</v>
          </cell>
          <cell r="D363" t="str">
            <v>색상실험 다시. 기존은 너무 블랙이라서 갈색톤 나도록 요청. 일정 먼저 제출해야 합니다. 일정 알려주세요</v>
          </cell>
          <cell r="E363">
            <v>200</v>
          </cell>
          <cell r="F363"/>
          <cell r="M363" t="str">
            <v>일정 먼저 알려줘야 합니다. 일정 확인해주세요. 수량은 캡 특성 상 정해지면 많은 수량을 요청하니 %별로 200개 이상 하는게 어떨까 합니다. 힘들면 정해지면 수량 찍으면 됩니다.</v>
          </cell>
        </row>
        <row r="364">
          <cell r="B364">
            <v>45944</v>
          </cell>
          <cell r="C364" t="str">
            <v>홀리추얼 울트라 너리싱 아이크림 30ML 중캡</v>
          </cell>
          <cell r="D364" t="str">
            <v>수량부족, 현재 123개, 증착해야 해서 추가 100개 요청</v>
          </cell>
          <cell r="E364">
            <v>100</v>
          </cell>
          <cell r="F364">
            <v>45945</v>
          </cell>
          <cell r="H364" t="str">
            <v>A6182</v>
          </cell>
          <cell r="I364" t="str">
            <v>M251318</v>
          </cell>
          <cell r="J364" t="str">
            <v>ABS (롯데첨단소재 MP-0670)</v>
          </cell>
          <cell r="M364" t="str">
            <v>증착, 사상, 조립해서 24일 까지 전달해야 해서 빠른 사출 바랍니다</v>
          </cell>
        </row>
        <row r="365">
          <cell r="B365">
            <v>45945</v>
          </cell>
          <cell r="C365" t="str">
            <v>헤라미니쿠션 상용기</v>
          </cell>
          <cell r="D365" t="str">
            <v>동진에서 도착한 MB로 % 2가지로 각 300개씩 사출요망</v>
          </cell>
          <cell r="E365">
            <v>600</v>
          </cell>
          <cell r="F365">
            <v>45951</v>
          </cell>
        </row>
        <row r="366">
          <cell r="B366">
            <v>45945</v>
          </cell>
          <cell r="C366" t="str">
            <v>헤라미니쿠션 하용기</v>
          </cell>
          <cell r="D366" t="str">
            <v>동진에서 도착한 MB로 % 2가지로 각 300개씩 사출요망</v>
          </cell>
          <cell r="E366">
            <v>600</v>
          </cell>
          <cell r="F366">
            <v>45951</v>
          </cell>
        </row>
        <row r="367">
          <cell r="B367">
            <v>45945</v>
          </cell>
          <cell r="C367" t="str">
            <v>헤라미니쿠션 리필상용기</v>
          </cell>
          <cell r="D367" t="str">
            <v>동진에서 도착한 MB로 % 2가지로 각 200개씩 사출요망</v>
          </cell>
          <cell r="E367">
            <v>400</v>
          </cell>
          <cell r="F367">
            <v>45951</v>
          </cell>
        </row>
        <row r="368">
          <cell r="B368">
            <v>45945</v>
          </cell>
          <cell r="C368" t="str">
            <v>헤라미니쿠션 리필하용기</v>
          </cell>
          <cell r="D368" t="str">
            <v>동진에서 도착한 MB로 % 2가지로 각 200개씩 사출요망</v>
          </cell>
          <cell r="E368">
            <v>400</v>
          </cell>
          <cell r="F368">
            <v>45951</v>
          </cell>
        </row>
        <row r="369">
          <cell r="B369">
            <v>45945</v>
          </cell>
          <cell r="C369" t="str">
            <v>홀리추얼 울트라 너리싱 아이크림 30ML 외캡</v>
          </cell>
          <cell r="D369" t="str">
            <v>수량부족(필요수량은 후가공된 140개 인데 현재 사출물 140개, 코팅 loss, 지그 제작용 등20여개 소요 예상). 수량 부족으로 추가 사출 요청</v>
          </cell>
          <cell r="E369">
            <v>100</v>
          </cell>
          <cell r="F369">
            <v>45946</v>
          </cell>
          <cell r="H369" t="str">
            <v>A6182</v>
          </cell>
          <cell r="I369" t="str">
            <v>M251317</v>
          </cell>
          <cell r="J369" t="str">
            <v>ABS (롯데첨단소재 MP-0670)</v>
          </cell>
        </row>
        <row r="370">
          <cell r="A370" t="str">
            <v>_20251016</v>
          </cell>
          <cell r="B370">
            <v>45946</v>
          </cell>
          <cell r="C370" t="str">
            <v>헤라 시그니아 유스퍼밍 아이크림 15ml 내캡</v>
          </cell>
          <cell r="D370" t="str">
            <v>나사 돌린 후 맞는지 확인해야 하고 이 샘플로 표견 잡아야 함</v>
          </cell>
          <cell r="E370">
            <v>100</v>
          </cell>
          <cell r="F370">
            <v>45947</v>
          </cell>
        </row>
        <row r="371">
          <cell r="A371" t="str">
            <v>_20251016</v>
          </cell>
          <cell r="B371">
            <v>45946</v>
          </cell>
          <cell r="C371" t="str">
            <v>헤라 시그니아 유스퍼밍 아이크림 15ml 외캡</v>
          </cell>
          <cell r="E371">
            <v>100</v>
          </cell>
          <cell r="F371">
            <v>45947</v>
          </cell>
        </row>
        <row r="372">
          <cell r="B372">
            <v>45947</v>
          </cell>
          <cell r="C372" t="str">
            <v>오딧세이 로맨틱 구형 외캡</v>
          </cell>
          <cell r="D372" t="str">
            <v>디자이너 색상 테스트 용, 투명으로 사출 (22일 수요일 제출해야 함)</v>
          </cell>
          <cell r="E372">
            <v>100</v>
          </cell>
          <cell r="F372">
            <v>45951</v>
          </cell>
        </row>
        <row r="373">
          <cell r="B373">
            <v>45947</v>
          </cell>
          <cell r="C373" t="str">
            <v>오딧세이 로맨틱 구형 중캡</v>
          </cell>
          <cell r="D373" t="str">
            <v>디자이너 색상 테스트 용, 흰색으로 사출 (22일 수요일 제출해야 함)</v>
          </cell>
          <cell r="E373">
            <v>100</v>
          </cell>
          <cell r="F373">
            <v>45951</v>
          </cell>
        </row>
        <row r="374">
          <cell r="B374">
            <v>45947</v>
          </cell>
          <cell r="C374" t="str">
            <v>오딧세이 로맨틱 구형 내캡</v>
          </cell>
          <cell r="D374" t="str">
            <v>디자이너 색상 테스트 용, 흰색으로 사출 (22일 수요일 제출해야 함)</v>
          </cell>
          <cell r="E374">
            <v>100</v>
          </cell>
          <cell r="F374">
            <v>45951</v>
          </cell>
        </row>
        <row r="375">
          <cell r="B375">
            <v>45947</v>
          </cell>
          <cell r="C375" t="str">
            <v>명작수 콜라겐 캡(라네즈유스콜라겐드링크 캡)</v>
          </cell>
          <cell r="D375" t="str">
            <v>3%로 색상 컨펌, 금주 중 제출하라고 함</v>
          </cell>
          <cell r="E375">
            <v>5000</v>
          </cell>
          <cell r="F375">
            <v>45953</v>
          </cell>
        </row>
        <row r="376">
          <cell r="A376" t="str">
            <v>_20251021</v>
          </cell>
          <cell r="B376">
            <v>45951</v>
          </cell>
          <cell r="C376" t="str">
            <v>헤라 시그니아 아이크림 5ml - 내용기</v>
          </cell>
          <cell r="D376" t="str">
            <v>금형 수정 후 진행, 라인테스트 샘플 제출</v>
          </cell>
          <cell r="E376">
            <v>200</v>
          </cell>
          <cell r="F376">
            <v>45957</v>
          </cell>
        </row>
        <row r="377">
          <cell r="A377" t="str">
            <v>_20251021</v>
          </cell>
          <cell r="B377">
            <v>45951</v>
          </cell>
          <cell r="C377" t="str">
            <v>헤라 시그니아 아이크림 5ml - 단캡</v>
          </cell>
          <cell r="D377" t="str">
            <v>라인테스트 샘플 제출</v>
          </cell>
          <cell r="E377">
            <v>200</v>
          </cell>
          <cell r="F377">
            <v>45957</v>
          </cell>
        </row>
        <row r="378">
          <cell r="A378" t="str">
            <v>_20251021</v>
          </cell>
          <cell r="B378">
            <v>45951</v>
          </cell>
          <cell r="C378" t="str">
            <v>헤라 시그니아 아이크림 5ml - 외용기</v>
          </cell>
          <cell r="D378" t="str">
            <v>라인테스트 샘플 제출</v>
          </cell>
          <cell r="E378">
            <v>150</v>
          </cell>
          <cell r="F378">
            <v>45957</v>
          </cell>
        </row>
        <row r="379">
          <cell r="A379" t="str">
            <v>SI1622_20251022</v>
          </cell>
          <cell r="B379">
            <v>45952</v>
          </cell>
          <cell r="C379" t="str">
            <v>설화수 진설명작크림 60ML (26AD 스파츌러대 사출</v>
          </cell>
          <cell r="D379" t="str">
            <v>PETG로 사출해야 함!! 가운데 수축 잡아주세요, 사출 수 유광골드 증착해서 제출해야 합니다. PETG로 사출해서 문제없으면 그대로 진행되겠지만 문제 생기면 ABS로 변경할 것이고 금형도 수정해야 합니다(ABS는 무게중심 않맞음)</v>
          </cell>
          <cell r="E379">
            <v>200</v>
          </cell>
          <cell r="F379">
            <v>45958</v>
          </cell>
          <cell r="G379" t="str">
            <v>SI1622</v>
          </cell>
          <cell r="H379" t="str">
            <v>A6867</v>
          </cell>
          <cell r="I379" t="str">
            <v>M251192_01</v>
          </cell>
        </row>
        <row r="380">
          <cell r="B380">
            <v>45952</v>
          </cell>
          <cell r="C380" t="str">
            <v>홀리추얼 울트라 너리싱 어드밴스드 토너 150ML 내캡</v>
          </cell>
          <cell r="D380" t="str">
            <v>J560S로 사출해줄 것, 4M 변경 가능, 외캡 중캡 조립 시 용이하게 키잡이 연장 수정 진행</v>
          </cell>
          <cell r="E380">
            <v>120</v>
          </cell>
          <cell r="F380">
            <v>45959</v>
          </cell>
          <cell r="G380" t="str">
            <v>SI1611</v>
          </cell>
          <cell r="H380" t="str">
            <v>A6866</v>
          </cell>
          <cell r="I380" t="str">
            <v>M251166_01</v>
          </cell>
        </row>
        <row r="381">
          <cell r="A381" t="str">
            <v>_20251023</v>
          </cell>
          <cell r="B381">
            <v>45953</v>
          </cell>
          <cell r="C381" t="str">
            <v>헤라 시그니아 유스퍼밍 아이크림 15ml 내캡</v>
          </cell>
          <cell r="D381" t="str">
            <v>라인테스트용 샘플 추가 요청 150ea 후가공 필요 없음</v>
          </cell>
          <cell r="E381">
            <v>200</v>
          </cell>
          <cell r="F381">
            <v>45957</v>
          </cell>
        </row>
        <row r="382">
          <cell r="A382" t="str">
            <v>_20251023</v>
          </cell>
          <cell r="B382">
            <v>45953</v>
          </cell>
          <cell r="C382" t="str">
            <v>헤라 시그니아 유스퍼밍 아이크림 15ml 외캡</v>
          </cell>
          <cell r="D382" t="str">
            <v>라인테스트용 샘플 추가 요청 150ea 후가공 필요 없음</v>
          </cell>
          <cell r="E382">
            <v>200</v>
          </cell>
          <cell r="F382">
            <v>45957</v>
          </cell>
        </row>
        <row r="383">
          <cell r="A383" t="str">
            <v>_20251023</v>
          </cell>
          <cell r="B383">
            <v>45953</v>
          </cell>
          <cell r="C383" t="str">
            <v>헤라 시그니아 유스퍼밍 아이크림 15ml 내용기</v>
          </cell>
          <cell r="D383" t="str">
            <v>라인테스트용 샘플 추가 요청 150ea 후가공 필요 없음</v>
          </cell>
          <cell r="E383">
            <v>300</v>
          </cell>
          <cell r="F383">
            <v>45957</v>
          </cell>
          <cell r="M383" t="str">
            <v>14일 사출해서 바로 우창에 이동해서 우창에서 15일 코팅 진행 예정입니다</v>
          </cell>
        </row>
        <row r="384">
          <cell r="A384" t="str">
            <v>_20251023</v>
          </cell>
          <cell r="B384">
            <v>45953</v>
          </cell>
          <cell r="C384" t="str">
            <v>헤라 시그니아 유스퍼밍 아이크림 15ml 외용기</v>
          </cell>
          <cell r="D384" t="str">
            <v>라인테스트용 샘플 추가 요청 150ea 후가공 필요 없음</v>
          </cell>
          <cell r="E384">
            <v>250</v>
          </cell>
          <cell r="F384">
            <v>45957</v>
          </cell>
        </row>
        <row r="385">
          <cell r="B385">
            <v>45958</v>
          </cell>
          <cell r="C385" t="str">
            <v>블랙쿠션 리필 상용기</v>
          </cell>
          <cell r="D385" t="str">
            <v>기능테스트용으로 감량에 문제없게 사출 시 치수측정 및 바로 조립해주세요</v>
          </cell>
          <cell r="E385">
            <v>100</v>
          </cell>
          <cell r="F385">
            <v>45966</v>
          </cell>
        </row>
        <row r="386">
          <cell r="B386">
            <v>45958</v>
          </cell>
          <cell r="C386" t="str">
            <v>블랙쿠션 리필 하용기</v>
          </cell>
          <cell r="D386" t="str">
            <v>기능테스트용으로 감량에 문제없게 사출 시 치수측정 및 바로 조립해주세요</v>
          </cell>
          <cell r="E386">
            <v>100</v>
          </cell>
          <cell r="F386">
            <v>45966</v>
          </cell>
        </row>
        <row r="387">
          <cell r="B387">
            <v>45958</v>
          </cell>
          <cell r="C387" t="str">
            <v>글로우쿠션 링</v>
          </cell>
          <cell r="D387" t="str">
            <v>기존 색상으로 사출(이성현님 제품용)</v>
          </cell>
        </row>
        <row r="388">
          <cell r="B388">
            <v>45964</v>
          </cell>
          <cell r="C388" t="str">
            <v>오딧세이 로맨틱 구형 외캡</v>
          </cell>
          <cell r="D388" t="str">
            <v>색상 타겟 확인할 것</v>
          </cell>
          <cell r="E388">
            <v>100</v>
          </cell>
          <cell r="F388">
            <v>45973</v>
          </cell>
        </row>
        <row r="389">
          <cell r="B389">
            <v>45964</v>
          </cell>
          <cell r="C389" t="str">
            <v>오딧세이 로맨틱 구형 중캡</v>
          </cell>
          <cell r="D389" t="str">
            <v>색상 타겟 확인할 것(블랙)</v>
          </cell>
          <cell r="E389">
            <v>100</v>
          </cell>
          <cell r="F389">
            <v>45973</v>
          </cell>
        </row>
        <row r="390">
          <cell r="B390">
            <v>45964</v>
          </cell>
          <cell r="C390" t="str">
            <v>오딧세이 로맨틱 구형 내캡</v>
          </cell>
          <cell r="D390" t="str">
            <v>색상 타겟 확인할 것(블랙)</v>
          </cell>
          <cell r="E390">
            <v>100</v>
          </cell>
          <cell r="F390">
            <v>45973</v>
          </cell>
        </row>
        <row r="391">
          <cell r="B391">
            <v>45972</v>
          </cell>
          <cell r="C391" t="str">
            <v>홀리추얼 울트라 너리싱 아이크림 30ML 중캡</v>
          </cell>
          <cell r="D391" t="str">
            <v>로이텍 사상 지그, 우창 증착, 표견 및 기타 샘플 제출 필요</v>
          </cell>
          <cell r="E391">
            <v>200</v>
          </cell>
          <cell r="F391">
            <v>45974</v>
          </cell>
          <cell r="H391" t="str">
            <v>A6182</v>
          </cell>
          <cell r="I391" t="str">
            <v>M251318</v>
          </cell>
          <cell r="J391" t="str">
            <v>ABS (롯데첨단소재 MP-0670)</v>
          </cell>
          <cell r="M391" t="str">
            <v>사출되면 로이텍에 보내서 지그 제작 및 사상 일정 확인해야 하고 사상 후 바로 우창에 보내야 합니다. 처음이나 품질 확인 반드시 하고 표견 만들어야 합니다.</v>
          </cell>
        </row>
        <row r="392">
          <cell r="A392" t="str">
            <v>SI1610_20251111</v>
          </cell>
          <cell r="B392">
            <v>45972</v>
          </cell>
          <cell r="C392" t="str">
            <v>홀리추얼 울트라 너리싱 어드밴스드 토너 150ML 캡장식 사출</v>
          </cell>
          <cell r="D392" t="str">
            <v>수정 확인, 표견용, 완료회의 자료 참고할 것</v>
          </cell>
          <cell r="E392">
            <v>100</v>
          </cell>
          <cell r="F392">
            <v>45975</v>
          </cell>
          <cell r="G392" t="str">
            <v>SI1610</v>
          </cell>
          <cell r="H392" t="str">
            <v>A6866</v>
          </cell>
          <cell r="I392" t="str">
            <v>M251167_01</v>
          </cell>
          <cell r="J392" t="str">
            <v>ABS (롯데첨단소재 MP-0670)</v>
          </cell>
        </row>
        <row r="393">
          <cell r="B393">
            <v>45974</v>
          </cell>
          <cell r="C393" t="str">
            <v>마몽드 클랜징 밤 100ML 스파출러</v>
          </cell>
          <cell r="D393" t="str">
            <v>색상 MB 적용해서 사출해주세요, 사상샘플포함 수량산정</v>
          </cell>
          <cell r="E393">
            <v>200</v>
          </cell>
        </row>
        <row r="394">
          <cell r="B394">
            <v>45974</v>
          </cell>
          <cell r="C394" t="str">
            <v>마몽드 클랜징 밤 100ML 원터치캡</v>
          </cell>
          <cell r="D394" t="str">
            <v>색상 MB 적용해서 사출해주세요. 치수 문제 없으면 모두 100개씩 사출</v>
          </cell>
          <cell r="E394">
            <v>100</v>
          </cell>
        </row>
        <row r="395">
          <cell r="B395">
            <v>45974</v>
          </cell>
          <cell r="C395" t="str">
            <v>마몽드 클랜징 밤 100ML 환판</v>
          </cell>
          <cell r="D395" t="str">
            <v>색상 MB 적용해서 사출해주세요. 치수 문제 없으면 모두 100개씩 사출</v>
          </cell>
          <cell r="E395">
            <v>100</v>
          </cell>
        </row>
        <row r="396">
          <cell r="B396">
            <v>45974</v>
          </cell>
          <cell r="C396" t="str">
            <v>마몽드 클랜징 밤 100ML 용기</v>
          </cell>
          <cell r="D396" t="str">
            <v>색상 MB 적용해서 사출해주세요,. 치수 문제 없으면 모두 100개씩 사출</v>
          </cell>
          <cell r="E396">
            <v>100</v>
          </cell>
        </row>
        <row r="397">
          <cell r="A397" t="str">
            <v>SI1617_20251114</v>
          </cell>
          <cell r="B397">
            <v>45975</v>
          </cell>
          <cell r="C397" t="str">
            <v>설화수 진설명작크림 60ML (26AD 중용기</v>
          </cell>
          <cell r="D397" t="str">
            <v>밑라벨 가이드 확인, 사출되면 후가공해서 확인해야 합니다. 기능 제출해야 합니다</v>
          </cell>
          <cell r="E397">
            <v>150</v>
          </cell>
          <cell r="F397"/>
          <cell r="G397" t="str">
            <v>SI1617</v>
          </cell>
          <cell r="H397" t="str">
            <v>A6867</v>
          </cell>
          <cell r="I397" t="str">
            <v>M251188_01</v>
          </cell>
          <cell r="J397" t="str">
            <v>ABS (롯데첨단소재 MP-0670)</v>
          </cell>
        </row>
        <row r="398">
          <cell r="A398" t="str">
            <v>SI1620_20251114</v>
          </cell>
          <cell r="B398">
            <v>45975</v>
          </cell>
          <cell r="C398" t="str">
            <v>설화수 진설명작크림 60ML (26AD 용기받침 사출</v>
          </cell>
          <cell r="D398" t="str">
            <v>밑라벨 가이드 확인, 사출되면 후가공해서 확인해야 합니다. 기능 제출해야 합니다</v>
          </cell>
          <cell r="E398">
            <v>150</v>
          </cell>
          <cell r="F398">
            <v>45906</v>
          </cell>
          <cell r="G398" t="str">
            <v>SI1620</v>
          </cell>
          <cell r="H398" t="str">
            <v>A6867</v>
          </cell>
          <cell r="I398" t="str">
            <v>M251190_01</v>
          </cell>
          <cell r="J398" t="str">
            <v>ABS (롯데첨단소재 MP-0670)</v>
          </cell>
        </row>
        <row r="399">
          <cell r="A399" t="str">
            <v>SI1618_20251114</v>
          </cell>
          <cell r="B399">
            <v>45975</v>
          </cell>
          <cell r="C399" t="str">
            <v>설화수 진설명작크림 60ML (26AD 내용기</v>
          </cell>
          <cell r="D399" t="str">
            <v>리브 신규제작 확인</v>
          </cell>
          <cell r="E399">
            <v>100</v>
          </cell>
          <cell r="F399"/>
          <cell r="G399" t="str">
            <v>SI1618</v>
          </cell>
          <cell r="H399" t="str">
            <v>A6867</v>
          </cell>
          <cell r="I399" t="str">
            <v>M251187_01</v>
          </cell>
          <cell r="J399" t="str">
            <v>PP (롯데케미칼 J-560S)</v>
          </cell>
        </row>
        <row r="400">
          <cell r="A400" t="str">
            <v>SI1614_20251114</v>
          </cell>
          <cell r="B400">
            <v>45975</v>
          </cell>
          <cell r="C400" t="str">
            <v>설화수 진설명작크림 60ML (26AD 내캡</v>
          </cell>
          <cell r="D400" t="str">
            <v>신규MB색상으로 진행 바랍니다.</v>
          </cell>
          <cell r="E400">
            <v>100</v>
          </cell>
          <cell r="F400"/>
          <cell r="G400" t="str">
            <v>SI1614</v>
          </cell>
          <cell r="H400" t="str">
            <v>A6867</v>
          </cell>
          <cell r="I400" t="str">
            <v>M251184_01</v>
          </cell>
          <cell r="J400" t="str">
            <v>PP (대한유화 4017) (30%)
PP (다원소재 DW-2360) (70%)</v>
          </cell>
        </row>
        <row r="401">
          <cell r="B401">
            <v>45978</v>
          </cell>
          <cell r="C401" t="str">
            <v>오설록 프리미엄 가루 발효차 40G 내용기</v>
          </cell>
          <cell r="D401" t="str">
            <v>대전방지제 들어오면 섞어서 사출해봐야 합니다. AD에 적용 여부 검증 샘플링</v>
          </cell>
          <cell r="E401">
            <v>50</v>
          </cell>
          <cell r="G401" t="str">
            <v>SI0986</v>
          </cell>
        </row>
        <row r="402">
          <cell r="B402">
            <v>45980</v>
          </cell>
          <cell r="C402" t="str">
            <v>헤라 글로우 쿠션 파운데이션21N1(견 5g(24) 상용기</v>
          </cell>
          <cell r="D402" t="str">
            <v>미장센 오렌지 6%로 사출 - 인쇄불량 다시 제출</v>
          </cell>
          <cell r="E402">
            <v>100</v>
          </cell>
        </row>
        <row r="403">
          <cell r="B403">
            <v>45982</v>
          </cell>
          <cell r="C403" t="str">
            <v>오딧세이 로맨틱 구형 외캡</v>
          </cell>
          <cell r="D403" t="str">
            <v>코팅 불량으로 다시 사출해야 함. 후가공 50개, 표견 40개(2개 제품이라고 함)</v>
          </cell>
          <cell r="E403">
            <v>200</v>
          </cell>
          <cell r="F403">
            <v>45986</v>
          </cell>
        </row>
        <row r="404">
          <cell r="B404">
            <v>45987</v>
          </cell>
          <cell r="C404" t="str">
            <v>구형 스템3 외캡</v>
          </cell>
          <cell r="D404" t="str">
            <v>신제품용 샘플 - 메탈코팅 예정</v>
          </cell>
          <cell r="E404">
            <v>300</v>
          </cell>
        </row>
        <row r="405">
          <cell r="B405">
            <v>45987</v>
          </cell>
          <cell r="C405" t="str">
            <v>구형 스템3 내캡</v>
          </cell>
          <cell r="D405" t="str">
            <v>신제품용 샘플 색상 타겟 있음, 필요시 %별 사출</v>
          </cell>
          <cell r="E405">
            <v>200</v>
          </cell>
        </row>
        <row r="406">
          <cell r="B406">
            <v>45987</v>
          </cell>
          <cell r="C406" t="str">
            <v>구형 스템3 내용기</v>
          </cell>
          <cell r="D406" t="str">
            <v>내캡과 동일한 색상으로, 재질 때문에 어려우면 %별로 50개씩 사출한 뒤 맞춘 것으로 200개</v>
          </cell>
          <cell r="E406">
            <v>300</v>
          </cell>
        </row>
        <row r="407">
          <cell r="B407">
            <v>45987</v>
          </cell>
          <cell r="C407" t="str">
            <v>구형 아이오페 슈퍼바이탈 외캡</v>
          </cell>
          <cell r="D407" t="str">
            <v>신제품용 샘플 디자이너 제공 용, 네츄럴로 사출</v>
          </cell>
          <cell r="E407">
            <v>100</v>
          </cell>
        </row>
        <row r="408">
          <cell r="B408">
            <v>45987</v>
          </cell>
          <cell r="C408" t="str">
            <v>구형 아이오페 슈퍼바이탈 내캡</v>
          </cell>
          <cell r="D408" t="str">
            <v>신제품용 샘플 디자이너 제공 용, 네츄럴로 사출</v>
          </cell>
          <cell r="E408">
            <v>100</v>
          </cell>
        </row>
        <row r="409">
          <cell r="B409">
            <v>45987</v>
          </cell>
          <cell r="C409" t="str">
            <v>구형 아이오페 슈퍼바이탈 외용기</v>
          </cell>
          <cell r="D409" t="str">
            <v>신제품용 샘플 디자이너 제공 용, 네츄럴로 사출</v>
          </cell>
          <cell r="E409">
            <v>100</v>
          </cell>
        </row>
        <row r="410">
          <cell r="B410">
            <v>45987</v>
          </cell>
          <cell r="C410" t="str">
            <v>구형 아이오페 슈퍼바이탈 내용기</v>
          </cell>
          <cell r="D410" t="str">
            <v>신제품용 샘플 디자이너 제공 용, 네츄럴로 사출</v>
          </cell>
          <cell r="E410">
            <v>100</v>
          </cell>
        </row>
        <row r="411">
          <cell r="B411">
            <v>45987</v>
          </cell>
          <cell r="C411" t="str">
            <v>마몽드 클랜징 밤 100ML 스파출러</v>
          </cell>
          <cell r="D411" t="str">
            <v>금형 수정해서 오면 CR, 복합PP로 사출요망, 캡에 끼이도록 구멍 뚫어 수요일 제출해야 함</v>
          </cell>
          <cell r="E411">
            <v>100</v>
          </cell>
          <cell r="F411">
            <v>46000</v>
          </cell>
        </row>
        <row r="412">
          <cell r="B412">
            <v>45995</v>
          </cell>
          <cell r="C412" t="str">
            <v>홀리추얼 울트라 너리싱 아이크림 30ML 외캡</v>
          </cell>
          <cell r="D412" t="str">
            <v>외캡 조립부 치수 18.4인데 18.6으로 사출되고 중캡 조립부 18.6인데 18.4로 사출되어 조립 문제 발생 -&gt; 선일에서 외캡 18.5, 중캡 18.5로 사출 조정해서 1:1이 되도록 시사출 요청하심</v>
          </cell>
          <cell r="E412">
            <v>50</v>
          </cell>
        </row>
        <row r="413">
          <cell r="B413">
            <v>45995</v>
          </cell>
          <cell r="C413" t="str">
            <v>홀리추얼 울트라 너리싱 아이크림 30ML 중캡</v>
          </cell>
          <cell r="D413" t="str">
            <v>위와 같음 우측 그림 참조. 어렵겠지만 사출로 치수에 최대한 맞춰보도록 요청</v>
          </cell>
          <cell r="E413">
            <v>50</v>
          </cell>
        </row>
        <row r="414">
          <cell r="B414">
            <v>45996</v>
          </cell>
          <cell r="C414" t="str">
            <v>설화수 진설명작크림 60ML (26AD 사출덮개</v>
          </cell>
          <cell r="D414" t="str">
            <v>수량없습니다. 시간될 때 사출 진행 바랍니다.</v>
          </cell>
          <cell r="E414">
            <v>200</v>
          </cell>
        </row>
        <row r="415">
          <cell r="B415">
            <v>45996</v>
          </cell>
          <cell r="C415" t="str">
            <v>설화수 진설명작크림 (견) 10ML (AD 내캡</v>
          </cell>
          <cell r="D415" t="str">
            <v>6%로 하랍니다 (MB확정은 아님) 진설명작 내용물 덮개에 맞춰 용기와 캡 색상 낸 것에 대해 흰색이 강함, 흰색을 좀 빼고 흰색 뺄 때 청색 계열도 보이니 청색도 빼달라고 요청</v>
          </cell>
          <cell r="E415">
            <v>100</v>
          </cell>
        </row>
        <row r="416">
          <cell r="B416">
            <v>45996</v>
          </cell>
          <cell r="C416" t="str">
            <v>설화수 진설명작크림 (견) 5ML (AD 내캡</v>
          </cell>
          <cell r="D416" t="str">
            <v>6%로 하랍니다 (MB확정은 아님) 진설명작 내용물 덮개에 맞춰 용기와 캡 색상 낸 것에 대해 흰색이 강함, 흰색을 좀 빼고 흰색 뺄 때 청색 계열도 보이니 청색도 빼달라고 요청</v>
          </cell>
          <cell r="E416">
            <v>100</v>
          </cell>
        </row>
        <row r="417">
          <cell r="B417">
            <v>45999</v>
          </cell>
          <cell r="C417" t="str">
            <v>해피바스 오리지널컬렉션 오리지널바디워시 180G 원터치캡(7513457)</v>
          </cell>
          <cell r="D417" t="str">
            <v>재고가 없어서 같은 금형 다른 색상 제품 제출했으나 동일 제품 필요하다고 금주 중 제출해달라고 하심, 후가공용, 표견 용</v>
          </cell>
          <cell r="E417">
            <v>200</v>
          </cell>
          <cell r="F417">
            <v>46002</v>
          </cell>
        </row>
        <row r="418">
          <cell r="B418">
            <v>45999</v>
          </cell>
          <cell r="C418" t="str">
            <v>구형 스템3 외캡</v>
          </cell>
          <cell r="D418" t="str">
            <v>신제품용 샘플, 회색MB넣어서 다시 사출해야 함 메탈코팅 예정</v>
          </cell>
          <cell r="E418">
            <v>100</v>
          </cell>
        </row>
        <row r="419">
          <cell r="B419">
            <v>46000</v>
          </cell>
          <cell r="C419" t="str">
            <v>SI1380 에이피PR리트리니티 에센스 로션150ML 숄더</v>
          </cell>
          <cell r="D419" t="str">
            <v>라인테스트, 프리웍스, 표견 등 이후 필요 수량, 이번 테스트는 사출물로 100개 제출</v>
          </cell>
          <cell r="E419">
            <v>1000</v>
          </cell>
          <cell r="F419">
            <v>46003</v>
          </cell>
        </row>
        <row r="420">
          <cell r="B420">
            <v>46002</v>
          </cell>
          <cell r="C420" t="str">
            <v>설화수 진설명작크림 60ML (26AD 스파츌러대 사출</v>
          </cell>
          <cell r="D420" t="str">
            <v>고비중ABS로 사출 - 증착 후 제출(증착할 때 지난번 색상 밝았다고 다시 타겟 주고 진행시켜주세요</v>
          </cell>
          <cell r="E420">
            <v>200</v>
          </cell>
          <cell r="F420">
            <v>46004</v>
          </cell>
        </row>
        <row r="421">
          <cell r="B421">
            <v>46007</v>
          </cell>
          <cell r="C421" t="str">
            <v>마몽드 클랜징 밤 100ML 스파출러</v>
          </cell>
          <cell r="D421" t="str">
            <v>금형 수정 후 시사출, 사상테스트 샘플 수량 포함</v>
          </cell>
          <cell r="E421">
            <v>100</v>
          </cell>
        </row>
        <row r="422">
          <cell r="B422">
            <v>46007</v>
          </cell>
          <cell r="C422" t="str">
            <v>마몽드 클랜징 밤 100ML 원터치캡</v>
          </cell>
          <cell r="D422" t="str">
            <v>금형 수정 후 시사출, 충진테스트 샘플 수량 포함</v>
          </cell>
          <cell r="E422">
            <v>150</v>
          </cell>
        </row>
        <row r="423">
          <cell r="B423">
            <v>46007</v>
          </cell>
          <cell r="C423" t="str">
            <v>마몽드 클랜징 밤 100ML 환판</v>
          </cell>
          <cell r="D423" t="str">
            <v>금형 수정 후 시사출, 충진테스트 샘플 수량 포함</v>
          </cell>
          <cell r="E423">
            <v>150</v>
          </cell>
        </row>
        <row r="424">
          <cell r="B424">
            <v>46007</v>
          </cell>
          <cell r="C424" t="str">
            <v>마몽드 클랜징 밤 100ML 용기</v>
          </cell>
          <cell r="D424" t="str">
            <v>금형 수정 후 시사출, 충진테스트 샘플 수량 포함</v>
          </cell>
          <cell r="E424">
            <v>150</v>
          </cell>
        </row>
        <row r="425">
          <cell r="B425">
            <v>46014</v>
          </cell>
          <cell r="C425" t="str">
            <v>오딧세이 챕터파이브 안티.토너 라이트하우스 150ml (23)  외캡</v>
          </cell>
          <cell r="D425" t="str">
            <v>7535570 PETG 재질 네츄럴로 사출. 디자이너 색상 샘플용</v>
          </cell>
          <cell r="E425">
            <v>100</v>
          </cell>
          <cell r="F425">
            <v>46027</v>
          </cell>
        </row>
        <row r="426">
          <cell r="B426">
            <v>46014</v>
          </cell>
          <cell r="C426" t="str">
            <v>오딧세이 챕터파이브 안티.토너 라이트하우스 150ml (23)  내캡</v>
          </cell>
          <cell r="D426" t="str">
            <v>7535570 PP 재질 네츄럴로 사출. 디자이너 색상 샘플용</v>
          </cell>
          <cell r="E426">
            <v>100</v>
          </cell>
          <cell r="F426">
            <v>46027</v>
          </cell>
        </row>
        <row r="427">
          <cell r="B427">
            <v>46026</v>
          </cell>
          <cell r="C427" t="str">
            <v>오딧세이 로맨틱 구형 외캡</v>
          </cell>
          <cell r="D427" t="str">
            <v>후가공테스트 불량, 다시 사출 필요(김관섭, 붉은색 투명)</v>
          </cell>
          <cell r="E427">
            <v>100</v>
          </cell>
          <cell r="F427">
            <v>46028</v>
          </cell>
        </row>
        <row r="428">
          <cell r="B428">
            <v>46026</v>
          </cell>
          <cell r="C428" t="str">
            <v>오딧세이 로맨틱 구형 중캡</v>
          </cell>
          <cell r="D428" t="str">
            <v>수량 없으면 사출</v>
          </cell>
          <cell r="E428">
            <v>100</v>
          </cell>
          <cell r="F428">
            <v>46028</v>
          </cell>
        </row>
        <row r="429">
          <cell r="B429">
            <v>46026</v>
          </cell>
          <cell r="C429" t="str">
            <v>오딧세이 로맨틱 구형 내캡</v>
          </cell>
          <cell r="D429" t="str">
            <v>수량 없으면 사출</v>
          </cell>
          <cell r="E429">
            <v>100</v>
          </cell>
          <cell r="F429">
            <v>46028</v>
          </cell>
        </row>
      </sheetData>
      <sheetData sheetId="1"/>
      <sheetData sheetId="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BOM_개발품목"/>
      <sheetName val="BOM_도면"/>
      <sheetName val="도면체크"/>
      <sheetName val="작업코드변환"/>
    </sheetNames>
    <sheetDataSet>
      <sheetData sheetId="0">
        <row r="1">
          <cell r="B1" t="str">
            <v>제품도면번호</v>
          </cell>
          <cell r="D1" t="str">
            <v>품목코드</v>
          </cell>
          <cell r="F1" t="str">
            <v>개취수</v>
          </cell>
        </row>
        <row r="2">
          <cell r="B2" t="str">
            <v>A6797</v>
          </cell>
        </row>
        <row r="3">
          <cell r="B3" t="str">
            <v>A6797</v>
          </cell>
          <cell r="D3" t="str">
            <v>SI1553</v>
          </cell>
          <cell r="F3">
            <v>4</v>
          </cell>
        </row>
        <row r="4">
          <cell r="B4" t="str">
            <v>A6797</v>
          </cell>
          <cell r="F4">
            <v>4</v>
          </cell>
        </row>
        <row r="5">
          <cell r="B5" t="str">
            <v>A6797</v>
          </cell>
          <cell r="D5" t="str">
            <v>SI1554</v>
          </cell>
          <cell r="F5">
            <v>4</v>
          </cell>
        </row>
        <row r="6">
          <cell r="B6" t="str">
            <v>A6797</v>
          </cell>
        </row>
        <row r="7">
          <cell r="B7" t="str">
            <v>A6797</v>
          </cell>
        </row>
        <row r="8">
          <cell r="B8" t="str">
            <v>A6787</v>
          </cell>
          <cell r="F8">
            <v>4</v>
          </cell>
        </row>
        <row r="9">
          <cell r="B9" t="str">
            <v>A6787</v>
          </cell>
          <cell r="D9" t="str">
            <v>SI1537</v>
          </cell>
          <cell r="F9">
            <v>4</v>
          </cell>
        </row>
        <row r="10">
          <cell r="B10" t="str">
            <v>A6787</v>
          </cell>
          <cell r="F10">
            <v>4</v>
          </cell>
        </row>
        <row r="11">
          <cell r="B11" t="str">
            <v>A6787</v>
          </cell>
          <cell r="D11" t="str">
            <v>SI1538</v>
          </cell>
          <cell r="F11">
            <v>4</v>
          </cell>
        </row>
        <row r="12">
          <cell r="B12" t="str">
            <v>A6787</v>
          </cell>
          <cell r="D12" t="str">
            <v>SI1539</v>
          </cell>
          <cell r="F12">
            <v>4</v>
          </cell>
        </row>
        <row r="13">
          <cell r="B13" t="str">
            <v>A6787</v>
          </cell>
        </row>
        <row r="14">
          <cell r="B14" t="str">
            <v>A6787</v>
          </cell>
        </row>
        <row r="15">
          <cell r="B15" t="str">
            <v>A6801</v>
          </cell>
          <cell r="F15">
            <v>4</v>
          </cell>
        </row>
        <row r="16">
          <cell r="B16" t="str">
            <v>A6801</v>
          </cell>
          <cell r="D16" t="str">
            <v>SI1540</v>
          </cell>
          <cell r="F16">
            <v>4</v>
          </cell>
        </row>
        <row r="17">
          <cell r="B17" t="str">
            <v>A6801</v>
          </cell>
          <cell r="F17">
            <v>4</v>
          </cell>
        </row>
        <row r="18">
          <cell r="B18" t="str">
            <v>A6801</v>
          </cell>
          <cell r="D18" t="str">
            <v>SI1541</v>
          </cell>
          <cell r="F18">
            <v>4</v>
          </cell>
        </row>
        <row r="19">
          <cell r="B19" t="str">
            <v>A6801</v>
          </cell>
          <cell r="F19">
            <v>4</v>
          </cell>
        </row>
        <row r="20">
          <cell r="B20" t="str">
            <v>A6801</v>
          </cell>
          <cell r="D20" t="str">
            <v>SI1542</v>
          </cell>
          <cell r="F20">
            <v>4</v>
          </cell>
        </row>
        <row r="21">
          <cell r="B21" t="str">
            <v>A6801</v>
          </cell>
        </row>
        <row r="22">
          <cell r="B22" t="str">
            <v>A6801</v>
          </cell>
          <cell r="D22" t="str">
            <v>SI1543</v>
          </cell>
          <cell r="F22">
            <v>8</v>
          </cell>
        </row>
        <row r="23">
          <cell r="B23" t="str">
            <v>A6798</v>
          </cell>
          <cell r="D23" t="str">
            <v>SI1544</v>
          </cell>
          <cell r="F23">
            <v>4</v>
          </cell>
        </row>
        <row r="24">
          <cell r="B24" t="str">
            <v>A6798</v>
          </cell>
          <cell r="D24" t="str">
            <v>SI1545</v>
          </cell>
          <cell r="F24">
            <v>4</v>
          </cell>
        </row>
        <row r="25">
          <cell r="B25" t="str">
            <v>A5790</v>
          </cell>
          <cell r="D25" t="str">
            <v>SI0993</v>
          </cell>
          <cell r="F25">
            <v>4</v>
          </cell>
        </row>
        <row r="26">
          <cell r="B26" t="str">
            <v>A5790</v>
          </cell>
          <cell r="F26">
            <v>4</v>
          </cell>
        </row>
        <row r="27">
          <cell r="B27" t="str">
            <v>A5790</v>
          </cell>
          <cell r="F27">
            <v>4</v>
          </cell>
        </row>
        <row r="28">
          <cell r="B28" t="str">
            <v>A5790</v>
          </cell>
          <cell r="D28" t="str">
            <v>SI0992</v>
          </cell>
          <cell r="F28">
            <v>4</v>
          </cell>
        </row>
        <row r="29">
          <cell r="B29" t="str">
            <v>A5790</v>
          </cell>
          <cell r="D29" t="str">
            <v>SI0994</v>
          </cell>
          <cell r="F29">
            <v>4</v>
          </cell>
        </row>
        <row r="30">
          <cell r="B30" t="str">
            <v>A6749</v>
          </cell>
          <cell r="D30" t="str">
            <v>SI1522</v>
          </cell>
          <cell r="F30">
            <v>4</v>
          </cell>
        </row>
        <row r="31">
          <cell r="B31" t="str">
            <v>A6749</v>
          </cell>
          <cell r="D31" t="str">
            <v>SI1516</v>
          </cell>
          <cell r="F31">
            <v>4</v>
          </cell>
        </row>
        <row r="32">
          <cell r="B32" t="str">
            <v>A6749</v>
          </cell>
          <cell r="D32" t="str">
            <v>SI1515</v>
          </cell>
          <cell r="F32">
            <v>4</v>
          </cell>
        </row>
        <row r="33">
          <cell r="B33" t="str">
            <v>A6749</v>
          </cell>
        </row>
        <row r="34">
          <cell r="B34" t="str">
            <v>A6749</v>
          </cell>
          <cell r="D34" t="str">
            <v>SI1519</v>
          </cell>
          <cell r="F34">
            <v>4</v>
          </cell>
        </row>
        <row r="35">
          <cell r="B35" t="str">
            <v>A6749</v>
          </cell>
          <cell r="D35" t="str">
            <v>SI1518</v>
          </cell>
          <cell r="F35">
            <v>4</v>
          </cell>
        </row>
        <row r="36">
          <cell r="B36" t="str">
            <v>A6749</v>
          </cell>
          <cell r="D36" t="str">
            <v>SI1520</v>
          </cell>
          <cell r="F36">
            <v>4</v>
          </cell>
        </row>
        <row r="37">
          <cell r="B37" t="str">
            <v>A6749</v>
          </cell>
        </row>
        <row r="38">
          <cell r="B38" t="str">
            <v>A6764</v>
          </cell>
        </row>
        <row r="39">
          <cell r="B39" t="str">
            <v>A6764</v>
          </cell>
          <cell r="F39">
            <v>8</v>
          </cell>
        </row>
        <row r="40">
          <cell r="B40" t="str">
            <v>A6764</v>
          </cell>
          <cell r="F40">
            <v>8</v>
          </cell>
        </row>
        <row r="41">
          <cell r="B41" t="str">
            <v>A6795</v>
          </cell>
          <cell r="F41">
            <v>10</v>
          </cell>
        </row>
        <row r="42">
          <cell r="B42" t="str">
            <v>A6660</v>
          </cell>
          <cell r="D42" t="str">
            <v>T0003</v>
          </cell>
          <cell r="F42">
            <v>8</v>
          </cell>
        </row>
        <row r="43">
          <cell r="B43" t="str">
            <v>A6660</v>
          </cell>
          <cell r="D43" t="str">
            <v>SI1447</v>
          </cell>
          <cell r="F43">
            <v>8</v>
          </cell>
        </row>
        <row r="44">
          <cell r="B44" t="str">
            <v>A6232</v>
          </cell>
          <cell r="D44" t="str">
            <v>SI1555</v>
          </cell>
          <cell r="F44">
            <v>16</v>
          </cell>
        </row>
        <row r="45">
          <cell r="B45" t="str">
            <v>A6764</v>
          </cell>
        </row>
        <row r="46">
          <cell r="B46" t="str">
            <v>A6764</v>
          </cell>
          <cell r="F46">
            <v>8</v>
          </cell>
        </row>
        <row r="47">
          <cell r="B47" t="str">
            <v>A6764</v>
          </cell>
          <cell r="F47">
            <v>8</v>
          </cell>
        </row>
        <row r="48">
          <cell r="B48" t="str">
            <v>A6764</v>
          </cell>
        </row>
        <row r="49">
          <cell r="B49" t="str">
            <v>A6764</v>
          </cell>
          <cell r="D49" t="str">
            <v>SI1550</v>
          </cell>
        </row>
        <row r="50">
          <cell r="B50" t="str">
            <v>A6764</v>
          </cell>
        </row>
        <row r="51">
          <cell r="B51" t="str">
            <v>A6764</v>
          </cell>
        </row>
        <row r="52">
          <cell r="B52" t="str">
            <v>A3632</v>
          </cell>
          <cell r="D52" t="str">
            <v>SI1089</v>
          </cell>
          <cell r="F52">
            <v>8</v>
          </cell>
        </row>
        <row r="53">
          <cell r="B53" t="str">
            <v>A3632</v>
          </cell>
          <cell r="D53" t="str">
            <v>SI1088</v>
          </cell>
          <cell r="F53">
            <v>8</v>
          </cell>
        </row>
        <row r="54">
          <cell r="B54" t="str">
            <v>A6794</v>
          </cell>
          <cell r="D54" t="str">
            <v>SI1557</v>
          </cell>
          <cell r="F54">
            <v>8</v>
          </cell>
        </row>
        <row r="55">
          <cell r="B55" t="str">
            <v>A6794</v>
          </cell>
          <cell r="D55" t="str">
            <v>SI1558</v>
          </cell>
          <cell r="F55">
            <v>8</v>
          </cell>
        </row>
        <row r="56">
          <cell r="B56" t="str">
            <v>A6802</v>
          </cell>
          <cell r="D56" t="str">
            <v>SI1559</v>
          </cell>
          <cell r="F56">
            <v>8</v>
          </cell>
        </row>
        <row r="57">
          <cell r="B57" t="str">
            <v>A6802</v>
          </cell>
          <cell r="D57" t="str">
            <v>SI1560</v>
          </cell>
          <cell r="F57">
            <v>8</v>
          </cell>
        </row>
        <row r="58">
          <cell r="B58" t="str">
            <v>JU24-038</v>
          </cell>
          <cell r="D58" t="str">
            <v>SI1562</v>
          </cell>
          <cell r="F58">
            <v>8</v>
          </cell>
        </row>
        <row r="59">
          <cell r="B59" t="str">
            <v>A6396</v>
          </cell>
          <cell r="D59" t="str">
            <v>SI1568</v>
          </cell>
          <cell r="F59">
            <v>4</v>
          </cell>
        </row>
        <row r="60">
          <cell r="B60" t="str">
            <v>A6542</v>
          </cell>
          <cell r="D60" t="str">
            <v>SI1569</v>
          </cell>
        </row>
        <row r="61">
          <cell r="B61" t="str">
            <v>A6229</v>
          </cell>
          <cell r="D61" t="str">
            <v>SI1590</v>
          </cell>
          <cell r="F61">
            <v>8</v>
          </cell>
        </row>
        <row r="62">
          <cell r="B62" t="str">
            <v>A6205</v>
          </cell>
          <cell r="D62" t="str">
            <v>SI1591</v>
          </cell>
          <cell r="F62">
            <v>4</v>
          </cell>
        </row>
        <row r="63">
          <cell r="B63" t="str">
            <v>A6205</v>
          </cell>
          <cell r="D63" t="str">
            <v>SI1592</v>
          </cell>
          <cell r="F63">
            <v>8</v>
          </cell>
        </row>
        <row r="64">
          <cell r="B64" t="str">
            <v>A6205</v>
          </cell>
          <cell r="D64" t="str">
            <v>SI1596</v>
          </cell>
          <cell r="F64">
            <v>4</v>
          </cell>
        </row>
        <row r="65">
          <cell r="B65" t="str">
            <v>A6232</v>
          </cell>
          <cell r="D65" t="str">
            <v>SI1577</v>
          </cell>
        </row>
        <row r="66">
          <cell r="B66" t="str">
            <v>A6232</v>
          </cell>
          <cell r="D66" t="str">
            <v>SI1578</v>
          </cell>
        </row>
        <row r="67">
          <cell r="B67" t="str">
            <v>A5919 A5745</v>
          </cell>
          <cell r="D67" t="str">
            <v>SI1579</v>
          </cell>
        </row>
        <row r="68">
          <cell r="B68" t="str">
            <v>A6396</v>
          </cell>
          <cell r="D68" t="str">
            <v>SI1580</v>
          </cell>
        </row>
        <row r="69">
          <cell r="B69" t="str">
            <v>A6228</v>
          </cell>
          <cell r="D69" t="str">
            <v>SI1581</v>
          </cell>
        </row>
        <row r="70">
          <cell r="B70" t="str">
            <v>A6764</v>
          </cell>
          <cell r="D70" t="str">
            <v>SI1582</v>
          </cell>
          <cell r="F70">
            <v>8</v>
          </cell>
        </row>
        <row r="71">
          <cell r="B71" t="str">
            <v>A6764</v>
          </cell>
          <cell r="D71" t="str">
            <v>SI1583</v>
          </cell>
          <cell r="F71">
            <v>8</v>
          </cell>
        </row>
        <row r="72">
          <cell r="B72" t="str">
            <v>A6764</v>
          </cell>
          <cell r="D72" t="str">
            <v>SI1584</v>
          </cell>
          <cell r="F72">
            <v>8</v>
          </cell>
        </row>
        <row r="73">
          <cell r="B73" t="str">
            <v>A6764</v>
          </cell>
          <cell r="D73" t="str">
            <v>SI1585</v>
          </cell>
          <cell r="F73">
            <v>8</v>
          </cell>
        </row>
        <row r="74">
          <cell r="B74" t="str">
            <v>A5226</v>
          </cell>
          <cell r="D74" t="str">
            <v>SI1597</v>
          </cell>
          <cell r="F74">
            <v>8</v>
          </cell>
        </row>
        <row r="75">
          <cell r="D75" t="str">
            <v>SI1595</v>
          </cell>
          <cell r="F75">
            <v>4</v>
          </cell>
        </row>
        <row r="76">
          <cell r="B76" t="str">
            <v>A6205</v>
          </cell>
          <cell r="D76" t="str">
            <v>SI1598</v>
          </cell>
          <cell r="F76">
            <v>4</v>
          </cell>
        </row>
        <row r="77">
          <cell r="B77" t="str">
            <v>A6205</v>
          </cell>
          <cell r="D77" t="str">
            <v>SI1599</v>
          </cell>
          <cell r="F77">
            <v>8</v>
          </cell>
        </row>
        <row r="78">
          <cell r="B78" t="str">
            <v>A6849</v>
          </cell>
          <cell r="D78" t="str">
            <v>SI1600</v>
          </cell>
          <cell r="F78">
            <v>4</v>
          </cell>
        </row>
        <row r="79">
          <cell r="B79" t="str">
            <v>A6849</v>
          </cell>
          <cell r="D79" t="str">
            <v>SI1601</v>
          </cell>
          <cell r="F79">
            <v>4</v>
          </cell>
        </row>
        <row r="80">
          <cell r="D80" t="str">
            <v>SI1602</v>
          </cell>
          <cell r="F80">
            <v>8</v>
          </cell>
        </row>
        <row r="81">
          <cell r="B81" t="str">
            <v>A0030</v>
          </cell>
          <cell r="D81" t="str">
            <v>SI1603</v>
          </cell>
          <cell r="F81">
            <v>4</v>
          </cell>
        </row>
        <row r="82">
          <cell r="B82"/>
          <cell r="D82" t="str">
            <v>SI1604</v>
          </cell>
          <cell r="F82">
            <v>4</v>
          </cell>
        </row>
        <row r="83">
          <cell r="B83" t="str">
            <v>A6855</v>
          </cell>
          <cell r="D83" t="str">
            <v>SI1605</v>
          </cell>
          <cell r="F83">
            <v>8</v>
          </cell>
        </row>
        <row r="84">
          <cell r="B84" t="str">
            <v>A6855</v>
          </cell>
          <cell r="D84" t="str">
            <v>SI1606</v>
          </cell>
          <cell r="F84">
            <v>8</v>
          </cell>
        </row>
        <row r="85">
          <cell r="B85" t="str">
            <v>A6153</v>
          </cell>
          <cell r="D85" t="str">
            <v>SI1607</v>
          </cell>
          <cell r="F85">
            <v>8</v>
          </cell>
        </row>
        <row r="86">
          <cell r="B86" t="str">
            <v>A6153</v>
          </cell>
          <cell r="D86" t="str">
            <v>SI1608</v>
          </cell>
          <cell r="F86">
            <v>8</v>
          </cell>
        </row>
        <row r="87">
          <cell r="B87" t="str">
            <v>A6866</v>
          </cell>
          <cell r="D87" t="str">
            <v>SC0184</v>
          </cell>
          <cell r="F87">
            <v>4</v>
          </cell>
        </row>
        <row r="88">
          <cell r="B88" t="str">
            <v>A6866</v>
          </cell>
          <cell r="D88" t="str">
            <v>SI1609</v>
          </cell>
          <cell r="F88">
            <v>4</v>
          </cell>
        </row>
        <row r="89">
          <cell r="B89" t="str">
            <v>A6866</v>
          </cell>
          <cell r="D89" t="str">
            <v>SV0310</v>
          </cell>
          <cell r="F89">
            <v>4</v>
          </cell>
        </row>
        <row r="90">
          <cell r="B90" t="str">
            <v>A6866</v>
          </cell>
          <cell r="D90" t="str">
            <v>SI1610</v>
          </cell>
          <cell r="F90">
            <v>4</v>
          </cell>
        </row>
        <row r="91">
          <cell r="B91" t="str">
            <v>A6866</v>
          </cell>
          <cell r="D91" t="str">
            <v>SI1611</v>
          </cell>
          <cell r="F91">
            <v>4</v>
          </cell>
        </row>
        <row r="92">
          <cell r="B92" t="str">
            <v>A6867</v>
          </cell>
          <cell r="D92" t="str">
            <v>X</v>
          </cell>
          <cell r="F92"/>
        </row>
        <row r="93">
          <cell r="B93" t="str">
            <v>A6867</v>
          </cell>
          <cell r="D93" t="str">
            <v>SI1614</v>
          </cell>
          <cell r="F93">
            <v>2</v>
          </cell>
        </row>
        <row r="94">
          <cell r="B94" t="str">
            <v>A6867</v>
          </cell>
          <cell r="D94" t="str">
            <v>X</v>
          </cell>
          <cell r="F94"/>
        </row>
        <row r="95">
          <cell r="B95" t="str">
            <v>A6867</v>
          </cell>
          <cell r="D95" t="str">
            <v>SI1615</v>
          </cell>
          <cell r="F95">
            <v>2</v>
          </cell>
        </row>
        <row r="96">
          <cell r="B96" t="str">
            <v>A6867</v>
          </cell>
          <cell r="D96" t="str">
            <v>SI1616</v>
          </cell>
          <cell r="F96">
            <v>2</v>
          </cell>
        </row>
        <row r="97">
          <cell r="B97" t="str">
            <v>A6867</v>
          </cell>
          <cell r="F97">
            <v>2</v>
          </cell>
        </row>
        <row r="98">
          <cell r="B98" t="str">
            <v>A6867</v>
          </cell>
          <cell r="D98" t="str">
            <v>SI1617</v>
          </cell>
          <cell r="F98">
            <v>2</v>
          </cell>
        </row>
        <row r="99">
          <cell r="B99" t="str">
            <v>A6867</v>
          </cell>
          <cell r="D99" t="str">
            <v>SI1618</v>
          </cell>
          <cell r="F99">
            <v>2</v>
          </cell>
        </row>
        <row r="100">
          <cell r="B100" t="str">
            <v>A6867</v>
          </cell>
          <cell r="D100" t="str">
            <v>SI1619</v>
          </cell>
          <cell r="F100">
            <v>2</v>
          </cell>
        </row>
        <row r="101">
          <cell r="B101" t="str">
            <v>A6867</v>
          </cell>
          <cell r="D101"/>
          <cell r="F101">
            <v>2</v>
          </cell>
        </row>
        <row r="102">
          <cell r="B102" t="str">
            <v>A6867</v>
          </cell>
          <cell r="D102" t="str">
            <v>SI1620</v>
          </cell>
          <cell r="F102">
            <v>2</v>
          </cell>
        </row>
        <row r="103">
          <cell r="B103" t="str">
            <v>A6867</v>
          </cell>
          <cell r="D103"/>
          <cell r="F103"/>
        </row>
        <row r="104">
          <cell r="B104" t="str">
            <v>A6867</v>
          </cell>
          <cell r="D104"/>
          <cell r="F104"/>
        </row>
        <row r="105">
          <cell r="B105" t="str">
            <v>A6867</v>
          </cell>
          <cell r="D105" t="str">
            <v>X</v>
          </cell>
          <cell r="F105">
            <v>1</v>
          </cell>
        </row>
        <row r="106">
          <cell r="B106" t="str">
            <v>A6867</v>
          </cell>
          <cell r="D106"/>
          <cell r="F106">
            <v>2</v>
          </cell>
        </row>
        <row r="107">
          <cell r="B107" t="str">
            <v>A6867</v>
          </cell>
          <cell r="D107" t="str">
            <v>SI1621</v>
          </cell>
          <cell r="F107">
            <v>2</v>
          </cell>
        </row>
        <row r="108">
          <cell r="B108" t="str">
            <v>A6867</v>
          </cell>
          <cell r="D108"/>
          <cell r="F108"/>
        </row>
        <row r="109">
          <cell r="B109" t="str">
            <v>A6867</v>
          </cell>
          <cell r="D109"/>
          <cell r="F109">
            <v>4</v>
          </cell>
        </row>
        <row r="110">
          <cell r="B110" t="str">
            <v>A6867</v>
          </cell>
          <cell r="F110">
            <v>4</v>
          </cell>
        </row>
        <row r="111">
          <cell r="B111" t="str">
            <v>A6867</v>
          </cell>
          <cell r="D111" t="str">
            <v>SI1622</v>
          </cell>
          <cell r="F111">
            <v>4</v>
          </cell>
        </row>
        <row r="112">
          <cell r="B112" t="str">
            <v>A6867, A6871</v>
          </cell>
          <cell r="D112" t="str">
            <v>SI1644</v>
          </cell>
          <cell r="F112"/>
        </row>
        <row r="113">
          <cell r="B113" t="str">
            <v>A6867, A6871</v>
          </cell>
          <cell r="D113" t="str">
            <v>SI1623</v>
          </cell>
          <cell r="F113">
            <v>2</v>
          </cell>
        </row>
        <row r="114">
          <cell r="B114" t="str">
            <v>A6867, A6871</v>
          </cell>
          <cell r="D114"/>
          <cell r="F114"/>
        </row>
        <row r="115">
          <cell r="B115" t="str">
            <v>A6868</v>
          </cell>
          <cell r="F115">
            <v>4</v>
          </cell>
        </row>
        <row r="116">
          <cell r="B116" t="str">
            <v>A6868</v>
          </cell>
          <cell r="F116">
            <v>4</v>
          </cell>
        </row>
        <row r="117">
          <cell r="B117" t="str">
            <v>A6868</v>
          </cell>
          <cell r="D117" t="str">
            <v>SI1625</v>
          </cell>
          <cell r="F117">
            <v>4</v>
          </cell>
        </row>
        <row r="118">
          <cell r="B118" t="str">
            <v>A6868</v>
          </cell>
          <cell r="D118" t="str">
            <v>SI1626</v>
          </cell>
          <cell r="F118">
            <v>4</v>
          </cell>
        </row>
        <row r="119">
          <cell r="B119" t="str">
            <v>A6868</v>
          </cell>
          <cell r="D119"/>
          <cell r="F119"/>
        </row>
        <row r="120">
          <cell r="B120" t="str">
            <v>A6868</v>
          </cell>
          <cell r="D120" t="str">
            <v>SI1629</v>
          </cell>
          <cell r="F120">
            <v>4</v>
          </cell>
        </row>
        <row r="121">
          <cell r="B121" t="str">
            <v>A6868</v>
          </cell>
          <cell r="D121" t="str">
            <v>SI1628</v>
          </cell>
          <cell r="F121">
            <v>4</v>
          </cell>
        </row>
        <row r="122">
          <cell r="B122" t="str">
            <v>A6868</v>
          </cell>
          <cell r="F122">
            <v>4</v>
          </cell>
        </row>
        <row r="123">
          <cell r="B123" t="str">
            <v>A6868</v>
          </cell>
          <cell r="D123" t="str">
            <v>SI1627</v>
          </cell>
          <cell r="F123">
            <v>4</v>
          </cell>
        </row>
        <row r="124">
          <cell r="B124" t="str">
            <v>A6868</v>
          </cell>
          <cell r="D124"/>
          <cell r="F124"/>
        </row>
        <row r="125">
          <cell r="B125" t="str">
            <v>A6868</v>
          </cell>
          <cell r="D125"/>
          <cell r="F125"/>
        </row>
        <row r="126">
          <cell r="B126" t="str">
            <v>A6869</v>
          </cell>
          <cell r="F126">
            <v>4</v>
          </cell>
        </row>
        <row r="127">
          <cell r="B127" t="str">
            <v>A6869</v>
          </cell>
          <cell r="F127">
            <v>4</v>
          </cell>
        </row>
        <row r="128">
          <cell r="B128" t="str">
            <v>A6869</v>
          </cell>
          <cell r="D128" t="str">
            <v>SI1630</v>
          </cell>
          <cell r="F128">
            <v>4</v>
          </cell>
        </row>
        <row r="129">
          <cell r="B129" t="str">
            <v>A6869</v>
          </cell>
          <cell r="D129" t="str">
            <v>SI1631</v>
          </cell>
          <cell r="F129">
            <v>4</v>
          </cell>
        </row>
        <row r="130">
          <cell r="B130" t="str">
            <v>A6869</v>
          </cell>
          <cell r="D130"/>
          <cell r="F130"/>
        </row>
        <row r="131">
          <cell r="B131" t="str">
            <v>A6869</v>
          </cell>
          <cell r="D131" t="str">
            <v>SI1632</v>
          </cell>
          <cell r="F131">
            <v>4</v>
          </cell>
        </row>
        <row r="132">
          <cell r="B132" t="str">
            <v>A6869</v>
          </cell>
          <cell r="F132">
            <v>4</v>
          </cell>
        </row>
        <row r="133">
          <cell r="B133" t="str">
            <v>A6869</v>
          </cell>
          <cell r="D133" t="str">
            <v>SI1633</v>
          </cell>
          <cell r="F133">
            <v>4</v>
          </cell>
        </row>
        <row r="134">
          <cell r="B134" t="str">
            <v>A6869</v>
          </cell>
          <cell r="D134"/>
          <cell r="F134"/>
        </row>
        <row r="135">
          <cell r="B135" t="str">
            <v>A6869</v>
          </cell>
          <cell r="D135" t="str">
            <v>SI1634</v>
          </cell>
          <cell r="F135">
            <v>4</v>
          </cell>
        </row>
        <row r="136">
          <cell r="B136" t="str">
            <v>A6869</v>
          </cell>
          <cell r="D136"/>
          <cell r="F136"/>
        </row>
        <row r="137">
          <cell r="B137" t="str">
            <v>A6200, A6888</v>
          </cell>
          <cell r="F137">
            <v>4</v>
          </cell>
        </row>
        <row r="138">
          <cell r="B138" t="str">
            <v>A6200, A6888</v>
          </cell>
          <cell r="D138" t="str">
            <v>SI1637</v>
          </cell>
          <cell r="F138">
            <v>4</v>
          </cell>
        </row>
        <row r="139">
          <cell r="B139" t="str">
            <v>A6200, A6888</v>
          </cell>
          <cell r="D139" t="str">
            <v>SI1638</v>
          </cell>
          <cell r="F139">
            <v>4</v>
          </cell>
        </row>
        <row r="140">
          <cell r="B140" t="str">
            <v>A6200, A6888</v>
          </cell>
          <cell r="F140">
            <v>4</v>
          </cell>
        </row>
        <row r="141">
          <cell r="B141" t="str">
            <v>A6200, A6888</v>
          </cell>
          <cell r="D141" t="str">
            <v>SI1639</v>
          </cell>
          <cell r="F141">
            <v>4</v>
          </cell>
        </row>
        <row r="142">
          <cell r="B142" t="str">
            <v>A6200, A6888</v>
          </cell>
          <cell r="D142" t="str">
            <v>SI1640</v>
          </cell>
          <cell r="F142">
            <v>4</v>
          </cell>
        </row>
        <row r="143">
          <cell r="B143" t="str">
            <v>A6200, A6888</v>
          </cell>
          <cell r="D143"/>
          <cell r="F143"/>
        </row>
        <row r="144">
          <cell r="B144" t="str">
            <v>A6887</v>
          </cell>
          <cell r="D144" t="str">
            <v>SI1641</v>
          </cell>
          <cell r="F144">
            <v>4</v>
          </cell>
        </row>
        <row r="145">
          <cell r="B145" t="str">
            <v>A6887</v>
          </cell>
          <cell r="D145"/>
          <cell r="F145"/>
        </row>
        <row r="146">
          <cell r="B146" t="str">
            <v>A6887</v>
          </cell>
          <cell r="D146" t="str">
            <v>SI1643</v>
          </cell>
          <cell r="F146">
            <v>4</v>
          </cell>
        </row>
        <row r="147">
          <cell r="B147" t="str">
            <v>A6887</v>
          </cell>
          <cell r="D147" t="str">
            <v>SI1642</v>
          </cell>
          <cell r="F147">
            <v>2</v>
          </cell>
        </row>
        <row r="148">
          <cell r="B148" t="str">
            <v>A6887</v>
          </cell>
          <cell r="D148"/>
          <cell r="F148"/>
        </row>
      </sheetData>
      <sheetData sheetId="1">
        <row r="1">
          <cell r="C1" t="str">
            <v>품목코드</v>
          </cell>
          <cell r="D1" t="str">
            <v>금형번호</v>
          </cell>
          <cell r="E1" t="str">
            <v>품목도면번호</v>
          </cell>
          <cell r="F1" t="str">
            <v>도면번호_버전</v>
          </cell>
          <cell r="G1" t="str">
            <v>도면이미지</v>
          </cell>
          <cell r="H1" t="str">
            <v>도면A</v>
          </cell>
          <cell r="I1" t="str">
            <v>도면A_규격명</v>
          </cell>
          <cell r="J1" t="str">
            <v>도면A_규격</v>
          </cell>
          <cell r="K1" t="str">
            <v>도면B</v>
          </cell>
          <cell r="L1" t="str">
            <v>도면B_규격명</v>
          </cell>
          <cell r="M1" t="str">
            <v>도면B_규격</v>
          </cell>
          <cell r="N1" t="str">
            <v>도면C</v>
          </cell>
          <cell r="O1" t="str">
            <v>도면C_규격명</v>
          </cell>
          <cell r="P1" t="str">
            <v>도면C_규격</v>
          </cell>
          <cell r="Q1" t="str">
            <v>완제품코드</v>
          </cell>
        </row>
        <row r="2">
          <cell r="C2" t="str">
            <v>SI1553</v>
          </cell>
          <cell r="D2" t="str">
            <v>M241285_01</v>
          </cell>
          <cell r="E2" t="str">
            <v>A6797_INNER CAP</v>
          </cell>
          <cell r="F2" t="str">
            <v>SI1553_2</v>
          </cell>
          <cell r="G2" t="e">
            <v>#VALUE!</v>
          </cell>
          <cell r="H2" t="e">
            <v>#VALUE!</v>
          </cell>
          <cell r="I2" t="str">
            <v>외경</v>
          </cell>
          <cell r="K2" t="e">
            <v>#VALUE!</v>
          </cell>
          <cell r="N2" t="e">
            <v>#VALUE!</v>
          </cell>
          <cell r="Q2">
            <v>7554030</v>
          </cell>
        </row>
        <row r="3">
          <cell r="C3" t="str">
            <v>SI1553</v>
          </cell>
          <cell r="D3" t="str">
            <v>M241285_01</v>
          </cell>
          <cell r="E3" t="str">
            <v>A6797_INNER CAP</v>
          </cell>
          <cell r="F3" t="str">
            <v>SI1553_1012</v>
          </cell>
          <cell r="G3" t="e">
            <v>#VALUE!</v>
          </cell>
          <cell r="H3" t="e">
            <v>#VALUE!</v>
          </cell>
          <cell r="I3" t="str">
            <v>외경</v>
          </cell>
          <cell r="J3" t="str">
            <v>⌀32.4±0.1</v>
          </cell>
          <cell r="K3" t="e">
            <v>#VALUE!</v>
          </cell>
          <cell r="L3" t="str">
            <v>나사경</v>
          </cell>
          <cell r="M3" t="str">
            <v>⌀12.4±0.1</v>
          </cell>
          <cell r="N3" t="e">
            <v>#VALUE!</v>
          </cell>
          <cell r="Q3">
            <v>7554030</v>
          </cell>
        </row>
        <row r="4">
          <cell r="C4" t="str">
            <v>SI1554</v>
          </cell>
          <cell r="D4" t="str">
            <v>M241286_01</v>
          </cell>
          <cell r="E4" t="str">
            <v>A6797_OUTER CAP</v>
          </cell>
          <cell r="F4" t="str">
            <v>SI1554_820</v>
          </cell>
          <cell r="G4" t="e">
            <v>#VALUE!</v>
          </cell>
          <cell r="H4" t="e">
            <v>#VALUE!</v>
          </cell>
          <cell r="I4" t="str">
            <v>외경</v>
          </cell>
          <cell r="K4" t="e">
            <v>#VALUE!</v>
          </cell>
          <cell r="N4" t="e">
            <v>#VALUE!</v>
          </cell>
          <cell r="Q4">
            <v>7554030</v>
          </cell>
        </row>
        <row r="5">
          <cell r="C5" t="str">
            <v>SI1554</v>
          </cell>
          <cell r="D5" t="str">
            <v>M241286_01</v>
          </cell>
          <cell r="E5" t="str">
            <v>A6797_OUTER CAP</v>
          </cell>
          <cell r="F5" t="str">
            <v>SI1554_1108</v>
          </cell>
          <cell r="G5" t="e">
            <v>#VALUE!</v>
          </cell>
          <cell r="H5" t="e">
            <v>#VALUE!</v>
          </cell>
          <cell r="I5" t="str">
            <v>외경</v>
          </cell>
          <cell r="J5" t="str">
            <v>⌀34.45±0.1</v>
          </cell>
          <cell r="K5" t="e">
            <v>#VALUE!</v>
          </cell>
          <cell r="L5" t="str">
            <v>언더컷</v>
          </cell>
          <cell r="M5" t="str">
            <v>⌀31.4±0.1</v>
          </cell>
          <cell r="N5" t="e">
            <v>#VALUE!</v>
          </cell>
          <cell r="Q5">
            <v>7554030</v>
          </cell>
        </row>
        <row r="6">
          <cell r="C6" t="str">
            <v>SI1537</v>
          </cell>
          <cell r="D6" t="str">
            <v>M241247_01</v>
          </cell>
          <cell r="E6" t="str">
            <v>A6787_CAP DECO</v>
          </cell>
          <cell r="G6" t="e">
            <v>#VALUE!</v>
          </cell>
          <cell r="H6" t="e">
            <v>#VALUE!</v>
          </cell>
          <cell r="I6" t="str">
            <v>외경</v>
          </cell>
          <cell r="J6" t="str">
            <v>⌀45.4±0.1</v>
          </cell>
          <cell r="K6" t="e">
            <v>#VALUE!</v>
          </cell>
          <cell r="L6" t="str">
            <v>내경</v>
          </cell>
          <cell r="M6" t="str">
            <v>⌀42.2±0.1</v>
          </cell>
          <cell r="N6" t="e">
            <v>#VALUE!</v>
          </cell>
          <cell r="O6" t="str">
            <v>언더컷</v>
          </cell>
          <cell r="P6" t="str">
            <v>⌀43.2±0.1</v>
          </cell>
          <cell r="Q6">
            <v>7552827</v>
          </cell>
        </row>
        <row r="7">
          <cell r="C7" t="str">
            <v>SI1537</v>
          </cell>
          <cell r="D7" t="str">
            <v>M241247_01</v>
          </cell>
          <cell r="E7" t="str">
            <v>A6787_CAP DECO</v>
          </cell>
          <cell r="F7" t="str">
            <v>SI1537_808</v>
          </cell>
          <cell r="G7" t="e">
            <v>#VALUE!</v>
          </cell>
          <cell r="H7" t="e">
            <v>#VALUE!</v>
          </cell>
          <cell r="I7" t="str">
            <v>외경</v>
          </cell>
          <cell r="J7" t="str">
            <v>⌀45.4±0.1</v>
          </cell>
          <cell r="K7" t="e">
            <v>#VALUE!</v>
          </cell>
          <cell r="L7" t="str">
            <v>내경</v>
          </cell>
          <cell r="M7" t="str">
            <v>⌀42.2±0.1</v>
          </cell>
          <cell r="N7" t="e">
            <v>#VALUE!</v>
          </cell>
          <cell r="O7" t="str">
            <v>언더컷</v>
          </cell>
          <cell r="P7" t="str">
            <v>⌀43.2±0.1</v>
          </cell>
          <cell r="Q7">
            <v>7552827</v>
          </cell>
        </row>
        <row r="8">
          <cell r="C8" t="str">
            <v>SI1538</v>
          </cell>
          <cell r="D8" t="str">
            <v>M241246_01</v>
          </cell>
          <cell r="E8" t="str">
            <v>A6787_OUTER CAP</v>
          </cell>
          <cell r="F8" t="str">
            <v>SI1538_727</v>
          </cell>
          <cell r="G8" t="e">
            <v>#VALUE!</v>
          </cell>
          <cell r="H8" t="e">
            <v>#VALUE!</v>
          </cell>
          <cell r="I8" t="str">
            <v>외경</v>
          </cell>
          <cell r="J8" t="str">
            <v>⌀48.7±</v>
          </cell>
          <cell r="K8" t="e">
            <v>#VALUE!</v>
          </cell>
          <cell r="L8" t="str">
            <v>내경</v>
          </cell>
          <cell r="M8" t="str">
            <v>⌀45.9</v>
          </cell>
          <cell r="N8" t="e">
            <v>#VALUE!</v>
          </cell>
          <cell r="O8" t="str">
            <v>언더컷</v>
          </cell>
          <cell r="Q8">
            <v>7552827</v>
          </cell>
        </row>
        <row r="9">
          <cell r="C9" t="str">
            <v>SI1539</v>
          </cell>
          <cell r="D9" t="str">
            <v>M241245_01</v>
          </cell>
          <cell r="E9" t="str">
            <v>A6787_INNER CAP</v>
          </cell>
          <cell r="F9" t="str">
            <v>SI1539_2</v>
          </cell>
          <cell r="G9" t="e">
            <v>#VALUE!</v>
          </cell>
          <cell r="H9" t="e">
            <v>#VALUE!</v>
          </cell>
          <cell r="I9" t="str">
            <v>외경</v>
          </cell>
          <cell r="K9" t="e">
            <v>#VALUE!</v>
          </cell>
          <cell r="N9" t="e">
            <v>#VALUE!</v>
          </cell>
          <cell r="Q9">
            <v>7552827</v>
          </cell>
        </row>
        <row r="10">
          <cell r="C10" t="str">
            <v>SI1539</v>
          </cell>
          <cell r="D10" t="str">
            <v>M241245_01</v>
          </cell>
          <cell r="E10" t="str">
            <v>A6787_INNER CAP</v>
          </cell>
          <cell r="F10" t="str">
            <v>SI1539_1021</v>
          </cell>
          <cell r="G10" t="e">
            <v>#VALUE!</v>
          </cell>
          <cell r="H10" t="e">
            <v>#VALUE!</v>
          </cell>
          <cell r="I10" t="str">
            <v>외경</v>
          </cell>
          <cell r="J10" t="str">
            <v>⌀45.7±0.1</v>
          </cell>
          <cell r="K10" t="e">
            <v>#VALUE!</v>
          </cell>
          <cell r="L10" t="str">
            <v>나사경</v>
          </cell>
          <cell r="M10" t="str">
            <v>⌀17.7±0.1</v>
          </cell>
          <cell r="N10" t="e">
            <v>#VALUE!</v>
          </cell>
          <cell r="Q10">
            <v>7552827</v>
          </cell>
        </row>
        <row r="11">
          <cell r="C11" t="str">
            <v>SI1540</v>
          </cell>
          <cell r="D11" t="str">
            <v>M241344_01</v>
          </cell>
          <cell r="E11" t="str">
            <v>A6801_CAP DECO</v>
          </cell>
          <cell r="G11" t="e">
            <v>#VALUE!</v>
          </cell>
          <cell r="H11" t="e">
            <v>#VALUE!</v>
          </cell>
          <cell r="I11" t="str">
            <v>외경</v>
          </cell>
          <cell r="K11" t="e">
            <v>#VALUE!</v>
          </cell>
          <cell r="L11" t="str">
            <v>언더컷</v>
          </cell>
          <cell r="N11" t="e">
            <v>#VALUE!</v>
          </cell>
          <cell r="Q11">
            <v>7555211</v>
          </cell>
        </row>
        <row r="12">
          <cell r="C12" t="str">
            <v>SI1540</v>
          </cell>
          <cell r="D12" t="str">
            <v>M241344_01</v>
          </cell>
          <cell r="E12" t="str">
            <v>A6801_CAP DECO</v>
          </cell>
          <cell r="F12" t="str">
            <v>SI1540_1023</v>
          </cell>
          <cell r="G12" t="e">
            <v>#VALUE!</v>
          </cell>
          <cell r="H12" t="e">
            <v>#VALUE!</v>
          </cell>
          <cell r="I12" t="str">
            <v>외경</v>
          </cell>
          <cell r="J12" t="str">
            <v>⌀74.4±0.1</v>
          </cell>
          <cell r="K12" t="e">
            <v>#VALUE!</v>
          </cell>
          <cell r="L12" t="str">
            <v>언더컷</v>
          </cell>
          <cell r="M12"/>
          <cell r="Q12">
            <v>7555211</v>
          </cell>
        </row>
        <row r="13">
          <cell r="C13" t="str">
            <v>SI1540</v>
          </cell>
          <cell r="D13" t="str">
            <v>M241344_01</v>
          </cell>
          <cell r="E13" t="str">
            <v>A6801_CAP DECO</v>
          </cell>
          <cell r="F13" t="str">
            <v>SI1540_1106</v>
          </cell>
          <cell r="G13" t="e">
            <v>#VALUE!</v>
          </cell>
          <cell r="H13" t="e">
            <v>#VALUE!</v>
          </cell>
          <cell r="I13" t="str">
            <v>외경</v>
          </cell>
          <cell r="J13" t="str">
            <v>⌀74.5±0.1</v>
          </cell>
          <cell r="K13" t="e">
            <v>#VALUE!</v>
          </cell>
          <cell r="L13" t="str">
            <v>언더컷</v>
          </cell>
          <cell r="M13"/>
          <cell r="N13" t="e">
            <v>#VALUE!</v>
          </cell>
          <cell r="Q13">
            <v>7555211</v>
          </cell>
        </row>
        <row r="14">
          <cell r="C14" t="str">
            <v>SI1540</v>
          </cell>
          <cell r="D14" t="str">
            <v>M241344_01</v>
          </cell>
          <cell r="E14" t="str">
            <v>A6801_CAP DECO</v>
          </cell>
          <cell r="F14" t="str">
            <v>SI1540_1118</v>
          </cell>
          <cell r="G14" t="e">
            <v>#VALUE!</v>
          </cell>
          <cell r="H14" t="e">
            <v>#VALUE!</v>
          </cell>
          <cell r="I14" t="str">
            <v>외경</v>
          </cell>
          <cell r="J14" t="str">
            <v>⌀74.5±0.1</v>
          </cell>
          <cell r="K14" t="e">
            <v>#VALUE!</v>
          </cell>
          <cell r="L14" t="str">
            <v>언더컷</v>
          </cell>
          <cell r="M14" t="str">
            <v>⌀47.0±0.1</v>
          </cell>
          <cell r="N14" t="e">
            <v>#VALUE!</v>
          </cell>
          <cell r="Q14">
            <v>7555211</v>
          </cell>
        </row>
        <row r="15">
          <cell r="C15" t="str">
            <v>SI1541</v>
          </cell>
          <cell r="D15" t="str">
            <v>M241342_01</v>
          </cell>
          <cell r="E15" t="str">
            <v>A6801_OUTER CAP</v>
          </cell>
          <cell r="G15" t="e">
            <v>#VALUE!</v>
          </cell>
          <cell r="H15" t="e">
            <v>#VALUE!</v>
          </cell>
          <cell r="I15" t="str">
            <v>외경</v>
          </cell>
          <cell r="K15" t="e">
            <v>#VALUE!</v>
          </cell>
          <cell r="L15" t="str">
            <v>언더컷</v>
          </cell>
          <cell r="N15" t="e">
            <v>#VALUE!</v>
          </cell>
          <cell r="Q15">
            <v>7555211</v>
          </cell>
        </row>
        <row r="16">
          <cell r="C16" t="str">
            <v>SI1541</v>
          </cell>
          <cell r="D16" t="str">
            <v>M241342_01</v>
          </cell>
          <cell r="E16" t="str">
            <v>A6801_OUTER CAP</v>
          </cell>
          <cell r="F16" t="str">
            <v>SI1541_1118</v>
          </cell>
          <cell r="G16" t="e">
            <v>#VALUE!</v>
          </cell>
          <cell r="H16" t="e">
            <v>#VALUE!</v>
          </cell>
          <cell r="I16" t="str">
            <v>내경</v>
          </cell>
          <cell r="J16" t="str">
            <v>⌀72.1±0.1</v>
          </cell>
          <cell r="K16" t="e">
            <v>#VALUE!</v>
          </cell>
          <cell r="L16" t="str">
            <v>외경</v>
          </cell>
          <cell r="M16" t="str">
            <v>⌀74.8±0.1</v>
          </cell>
          <cell r="N16" t="e">
            <v>#VALUE!</v>
          </cell>
          <cell r="O16" t="str">
            <v>리브</v>
          </cell>
          <cell r="P16" t="str">
            <v>⌀62.1±0.1</v>
          </cell>
          <cell r="Q16">
            <v>7555211</v>
          </cell>
        </row>
        <row r="17">
          <cell r="C17" t="str">
            <v>SI1541</v>
          </cell>
          <cell r="D17" t="str">
            <v>M241342_01</v>
          </cell>
          <cell r="E17" t="str">
            <v>A6801_OUTER CAP</v>
          </cell>
          <cell r="F17" t="str">
            <v>SI1541_1212</v>
          </cell>
          <cell r="G17" t="e">
            <v>#VALUE!</v>
          </cell>
          <cell r="H17" t="e">
            <v>#VALUE!</v>
          </cell>
          <cell r="I17" t="str">
            <v>내경</v>
          </cell>
          <cell r="J17" t="str">
            <v>⌀72.1±0.1</v>
          </cell>
          <cell r="K17" t="e">
            <v>#VALUE!</v>
          </cell>
          <cell r="L17" t="str">
            <v>외경</v>
          </cell>
          <cell r="M17" t="str">
            <v>⌀74.8±0.1</v>
          </cell>
          <cell r="N17" t="e">
            <v>#VALUE!</v>
          </cell>
          <cell r="O17" t="str">
            <v>리브</v>
          </cell>
          <cell r="P17" t="str">
            <v>⌀62.1±0.1</v>
          </cell>
          <cell r="Q17">
            <v>7555211</v>
          </cell>
        </row>
        <row r="18">
          <cell r="C18" t="str">
            <v>SI1542</v>
          </cell>
          <cell r="D18" t="str">
            <v>M241343_01</v>
          </cell>
          <cell r="E18" t="str">
            <v>A6801_INNER CAP</v>
          </cell>
          <cell r="G18" t="e">
            <v>#VALUE!</v>
          </cell>
          <cell r="H18" t="e">
            <v>#VALUE!</v>
          </cell>
          <cell r="I18" t="str">
            <v>내경</v>
          </cell>
          <cell r="K18" t="e">
            <v>#VALUE!</v>
          </cell>
          <cell r="L18" t="str">
            <v>나사경</v>
          </cell>
          <cell r="N18" t="e">
            <v>#VALUE!</v>
          </cell>
          <cell r="O18" t="str">
            <v>언더컷</v>
          </cell>
          <cell r="Q18">
            <v>7555211</v>
          </cell>
        </row>
        <row r="19">
          <cell r="C19" t="str">
            <v>SI1542</v>
          </cell>
          <cell r="D19" t="str">
            <v>M241343_01</v>
          </cell>
          <cell r="E19" t="str">
            <v>A6801_INNER CAP</v>
          </cell>
          <cell r="F19" t="str">
            <v>SI1542_1023</v>
          </cell>
          <cell r="G19" t="e">
            <v>#VALUE!</v>
          </cell>
          <cell r="H19" t="e">
            <v>#VALUE!</v>
          </cell>
          <cell r="I19" t="str">
            <v>내경</v>
          </cell>
          <cell r="L19" t="str">
            <v>나사경</v>
          </cell>
          <cell r="O19" t="str">
            <v>언더컷</v>
          </cell>
          <cell r="Q19">
            <v>7555211</v>
          </cell>
        </row>
        <row r="20">
          <cell r="C20" t="str">
            <v>SI1542</v>
          </cell>
          <cell r="D20" t="str">
            <v>M241343_01</v>
          </cell>
          <cell r="E20" t="str">
            <v>A6801_INNER CAP</v>
          </cell>
          <cell r="F20" t="str">
            <v>SI1542_1106</v>
          </cell>
          <cell r="G20" t="e">
            <v>#VALUE!</v>
          </cell>
          <cell r="H20" t="e">
            <v>#VALUE!</v>
          </cell>
          <cell r="I20" t="str">
            <v>내경</v>
          </cell>
          <cell r="J20" t="str">
            <v>⌀60.5±0.1</v>
          </cell>
          <cell r="K20" t="e">
            <v>#VALUE!</v>
          </cell>
          <cell r="L20" t="str">
            <v>나사경</v>
          </cell>
          <cell r="M20" t="str">
            <v>⌀58.5±0.1</v>
          </cell>
          <cell r="N20" t="e">
            <v>#VALUE!</v>
          </cell>
          <cell r="O20" t="str">
            <v>외경</v>
          </cell>
          <cell r="P20" t="str">
            <v>⌀74.9±0.1</v>
          </cell>
          <cell r="Q20">
            <v>7555211</v>
          </cell>
        </row>
        <row r="21">
          <cell r="C21" t="str">
            <v>SI1542</v>
          </cell>
          <cell r="D21" t="str">
            <v>M241343_01</v>
          </cell>
          <cell r="E21" t="str">
            <v>A6801_INNER CAP</v>
          </cell>
          <cell r="F21" t="str">
            <v>SI1542_1118</v>
          </cell>
          <cell r="G21" t="e">
            <v>#VALUE!</v>
          </cell>
          <cell r="H21" t="e">
            <v>#VALUE!</v>
          </cell>
          <cell r="J21"/>
          <cell r="K21" t="e">
            <v>#VALUE!</v>
          </cell>
          <cell r="M21"/>
          <cell r="N21" t="e">
            <v>#VALUE!</v>
          </cell>
          <cell r="P21"/>
          <cell r="Q21">
            <v>7555211</v>
          </cell>
        </row>
        <row r="22">
          <cell r="C22" t="str">
            <v>SI1542</v>
          </cell>
          <cell r="D22" t="str">
            <v>M241343_01</v>
          </cell>
          <cell r="E22" t="str">
            <v>A6801_INNER CAP</v>
          </cell>
          <cell r="F22" t="str">
            <v>SI1542_1203</v>
          </cell>
          <cell r="G22" t="e">
            <v>#VALUE!</v>
          </cell>
          <cell r="H22" t="e">
            <v>#VALUE!</v>
          </cell>
          <cell r="J22" t="str">
            <v>⌀71.6±0.1</v>
          </cell>
          <cell r="K22" t="e">
            <v>#VALUE!</v>
          </cell>
          <cell r="L22" t="str">
            <v>나사경</v>
          </cell>
          <cell r="M22" t="str">
            <v>⌀58.5±0.1</v>
          </cell>
          <cell r="N22" t="e">
            <v>#VALUE!</v>
          </cell>
          <cell r="P22"/>
          <cell r="Q22">
            <v>7555211</v>
          </cell>
        </row>
        <row r="23">
          <cell r="C23" t="str">
            <v>SI1542</v>
          </cell>
          <cell r="D23" t="str">
            <v>M241343_01</v>
          </cell>
          <cell r="E23" t="str">
            <v>A6801_INNER CAP</v>
          </cell>
          <cell r="F23" t="str">
            <v>SI1542_1212</v>
          </cell>
          <cell r="G23" t="e">
            <v>#VALUE!</v>
          </cell>
          <cell r="H23" t="e">
            <v>#VALUE!</v>
          </cell>
          <cell r="J23" t="str">
            <v>⌀71.6±0.1</v>
          </cell>
          <cell r="K23" t="e">
            <v>#VALUE!</v>
          </cell>
          <cell r="L23" t="str">
            <v>나사경</v>
          </cell>
          <cell r="M23" t="str">
            <v>⌀58.5±0.1</v>
          </cell>
          <cell r="N23" t="e">
            <v>#VALUE!</v>
          </cell>
          <cell r="P23"/>
          <cell r="Q23">
            <v>7555211</v>
          </cell>
        </row>
        <row r="24">
          <cell r="C24" t="str">
            <v>SI1543</v>
          </cell>
          <cell r="D24" t="str">
            <v>M241341_01</v>
          </cell>
          <cell r="E24" t="str">
            <v>A6801_INNER JAR</v>
          </cell>
          <cell r="F24" t="str">
            <v>SI1543_903</v>
          </cell>
          <cell r="G24" t="e">
            <v>#VALUE!</v>
          </cell>
          <cell r="H24" t="e">
            <v>#VALUE!</v>
          </cell>
          <cell r="I24" t="str">
            <v>리브</v>
          </cell>
          <cell r="J24" t="str">
            <v>⌀51.55±0.1</v>
          </cell>
          <cell r="K24" t="e">
            <v>#VALUE!</v>
          </cell>
          <cell r="L24" t="str">
            <v>외경</v>
          </cell>
          <cell r="M24" t="str">
            <v>⌀56.9±0.1</v>
          </cell>
          <cell r="N24" t="e">
            <v>#VALUE!</v>
          </cell>
          <cell r="Q24">
            <v>7555210</v>
          </cell>
        </row>
        <row r="25">
          <cell r="C25" t="str">
            <v>SI1543</v>
          </cell>
          <cell r="D25" t="str">
            <v>M241341_01</v>
          </cell>
          <cell r="E25" t="str">
            <v>A6801_INNER JAR</v>
          </cell>
          <cell r="F25" t="str">
            <v>SI1543_1106</v>
          </cell>
          <cell r="G25" t="e">
            <v>#VALUE!</v>
          </cell>
          <cell r="H25" t="e">
            <v>#VALUE!</v>
          </cell>
          <cell r="I25" t="str">
            <v>리브</v>
          </cell>
          <cell r="J25" t="str">
            <v>⌀51.55±0.1</v>
          </cell>
          <cell r="K25" t="e">
            <v>#VALUE!</v>
          </cell>
          <cell r="L25" t="str">
            <v>외경</v>
          </cell>
          <cell r="M25" t="str">
            <v>⌀56.9±0.1</v>
          </cell>
          <cell r="N25" t="e">
            <v>#VALUE!</v>
          </cell>
          <cell r="Q25">
            <v>7555210</v>
          </cell>
        </row>
        <row r="26">
          <cell r="C26" t="str">
            <v>SI1543</v>
          </cell>
          <cell r="D26" t="str">
            <v>M241341_01</v>
          </cell>
          <cell r="E26" t="str">
            <v>A6801_INNER JAR</v>
          </cell>
          <cell r="F26" t="str">
            <v>SI1543_250205</v>
          </cell>
          <cell r="G26" t="e">
            <v>#VALUE!</v>
          </cell>
          <cell r="H26" t="e">
            <v>#VALUE!</v>
          </cell>
          <cell r="I26" t="str">
            <v>외경</v>
          </cell>
          <cell r="J26" t="str">
            <v>⌀56.9±0.1</v>
          </cell>
          <cell r="K26" t="e">
            <v>#VALUE!</v>
          </cell>
          <cell r="L26" t="str">
            <v>리브</v>
          </cell>
          <cell r="M26" t="str">
            <v>⌀51.55±0.1</v>
          </cell>
          <cell r="Q26">
            <v>7555210</v>
          </cell>
        </row>
        <row r="27">
          <cell r="C27" t="str">
            <v>SI1544</v>
          </cell>
          <cell r="D27" t="str">
            <v>M241283_01</v>
          </cell>
          <cell r="E27" t="str">
            <v>A6798_OUTER CAP</v>
          </cell>
          <cell r="G27" t="e">
            <v>#VALUE!</v>
          </cell>
          <cell r="H27" t="e">
            <v>#VALUE!</v>
          </cell>
          <cell r="I27" t="str">
            <v>외경</v>
          </cell>
          <cell r="J27" t="str">
            <v>⌀24.6±0.1</v>
          </cell>
          <cell r="K27" t="e">
            <v>#VALUE!</v>
          </cell>
          <cell r="L27" t="str">
            <v>내경</v>
          </cell>
          <cell r="M27" t="str">
            <v>⌀21.6±0.1</v>
          </cell>
          <cell r="N27" t="e">
            <v>#VALUE!</v>
          </cell>
          <cell r="Q27">
            <v>7554029</v>
          </cell>
        </row>
        <row r="28">
          <cell r="C28" t="str">
            <v>SI1545</v>
          </cell>
          <cell r="D28" t="str">
            <v>M241282_01</v>
          </cell>
          <cell r="E28" t="str">
            <v>A6798_INNER CAP</v>
          </cell>
          <cell r="F28" t="str">
            <v>SI1545_819</v>
          </cell>
          <cell r="G28" t="e">
            <v>#VALUE!</v>
          </cell>
          <cell r="H28" t="e">
            <v>#VALUE!</v>
          </cell>
          <cell r="I28" t="str">
            <v>외경</v>
          </cell>
          <cell r="K28" t="e">
            <v>#VALUE!</v>
          </cell>
          <cell r="L28" t="str">
            <v>나사경</v>
          </cell>
          <cell r="N28" t="e">
            <v>#VALUE!</v>
          </cell>
          <cell r="Q28">
            <v>7554029</v>
          </cell>
        </row>
        <row r="29">
          <cell r="C29" t="str">
            <v>SI1545</v>
          </cell>
          <cell r="D29" t="str">
            <v>M241282_01</v>
          </cell>
          <cell r="E29" t="str">
            <v>A6798_INNER CAP</v>
          </cell>
          <cell r="F29" t="str">
            <v>SI1545_1019</v>
          </cell>
          <cell r="G29" t="e">
            <v>#VALUE!</v>
          </cell>
          <cell r="H29" t="e">
            <v>#VALUE!</v>
          </cell>
          <cell r="I29" t="str">
            <v>언더컷</v>
          </cell>
          <cell r="J29" t="str">
            <v>⌀22.7±0.1</v>
          </cell>
          <cell r="K29" t="e">
            <v>#VALUE!</v>
          </cell>
          <cell r="L29" t="str">
            <v>나사경</v>
          </cell>
          <cell r="M29" t="str">
            <v>⌀10.9±0.1</v>
          </cell>
          <cell r="N29" t="e">
            <v>#VALUE!</v>
          </cell>
          <cell r="Q29">
            <v>7554029</v>
          </cell>
        </row>
        <row r="30">
          <cell r="C30" t="str">
            <v>SI0993</v>
          </cell>
          <cell r="D30" t="str">
            <v>M241294_02</v>
          </cell>
          <cell r="G30" t="e">
            <v>#VALUE!</v>
          </cell>
          <cell r="H30" t="e">
            <v>#VALUE!</v>
          </cell>
          <cell r="I30" t="str">
            <v>외경</v>
          </cell>
          <cell r="K30" t="e">
            <v>#VALUE!</v>
          </cell>
          <cell r="L30" t="str">
            <v>나사경</v>
          </cell>
        </row>
        <row r="31">
          <cell r="C31" t="str">
            <v>SI0993</v>
          </cell>
          <cell r="D31" t="str">
            <v>M241294_02</v>
          </cell>
          <cell r="F31" t="str">
            <v>SI0993_171018</v>
          </cell>
          <cell r="G31" t="e">
            <v>#VALUE!</v>
          </cell>
          <cell r="H31" t="e">
            <v>#VALUE!</v>
          </cell>
          <cell r="I31" t="str">
            <v>외경</v>
          </cell>
          <cell r="K31" t="e">
            <v>#VALUE!</v>
          </cell>
          <cell r="L31" t="str">
            <v>나사경</v>
          </cell>
          <cell r="N31" t="e">
            <v>#VALUE!</v>
          </cell>
        </row>
        <row r="32">
          <cell r="C32" t="str">
            <v>SI0992</v>
          </cell>
          <cell r="D32" t="str">
            <v>M241296_02</v>
          </cell>
          <cell r="G32" t="e">
            <v>#VALUE!</v>
          </cell>
          <cell r="H32" t="e">
            <v>#VALUE!</v>
          </cell>
          <cell r="I32" t="str">
            <v>외경</v>
          </cell>
          <cell r="K32" t="e">
            <v>#VALUE!</v>
          </cell>
          <cell r="N32" t="e">
            <v>#VALUE!</v>
          </cell>
        </row>
        <row r="33">
          <cell r="C33" t="str">
            <v>SI0992</v>
          </cell>
          <cell r="D33" t="str">
            <v>M241296_02</v>
          </cell>
          <cell r="F33" t="str">
            <v>SI0992_171018</v>
          </cell>
          <cell r="G33" t="e">
            <v>#VALUE!</v>
          </cell>
          <cell r="H33" t="e">
            <v>#VALUE!</v>
          </cell>
          <cell r="I33" t="str">
            <v>외경</v>
          </cell>
          <cell r="K33" t="e">
            <v>#VALUE!</v>
          </cell>
          <cell r="N33" t="e">
            <v>#VALUE!</v>
          </cell>
        </row>
        <row r="34">
          <cell r="C34" t="str">
            <v>SI0994</v>
          </cell>
          <cell r="D34" t="str">
            <v>M241295_02</v>
          </cell>
          <cell r="G34" t="e">
            <v>#VALUE!</v>
          </cell>
          <cell r="H34" t="e">
            <v>#VALUE!</v>
          </cell>
          <cell r="I34" t="str">
            <v>언더컷</v>
          </cell>
          <cell r="K34" t="e">
            <v>#VALUE!</v>
          </cell>
          <cell r="L34" t="str">
            <v>나사경</v>
          </cell>
        </row>
        <row r="35">
          <cell r="C35" t="str">
            <v>SI0994</v>
          </cell>
          <cell r="D35" t="str">
            <v>M241295_02</v>
          </cell>
          <cell r="F35" t="str">
            <v>SI0994_171018</v>
          </cell>
          <cell r="G35" t="e">
            <v>#VALUE!</v>
          </cell>
          <cell r="H35" t="e">
            <v>#VALUE!</v>
          </cell>
          <cell r="I35" t="str">
            <v>언더컷</v>
          </cell>
          <cell r="K35" t="e">
            <v>#VALUE!</v>
          </cell>
          <cell r="L35" t="str">
            <v>나사경</v>
          </cell>
        </row>
        <row r="36">
          <cell r="C36" t="str">
            <v>SI1522</v>
          </cell>
          <cell r="D36" t="str">
            <v>M241147_01, M241155_02</v>
          </cell>
          <cell r="E36" t="str">
            <v>A6749_INNER CAP</v>
          </cell>
          <cell r="F36" t="str">
            <v>SI1522_715</v>
          </cell>
          <cell r="G36" t="e">
            <v>#VALUE!</v>
          </cell>
          <cell r="H36" t="e">
            <v>#VALUE!</v>
          </cell>
          <cell r="I36" t="str">
            <v>언더컷</v>
          </cell>
          <cell r="K36" t="e">
            <v>#VALUE!</v>
          </cell>
          <cell r="L36" t="str">
            <v>외경</v>
          </cell>
          <cell r="N36" t="e">
            <v>#VALUE!</v>
          </cell>
        </row>
        <row r="37">
          <cell r="C37" t="str">
            <v>SI1516</v>
          </cell>
          <cell r="D37" t="str">
            <v>M241148_01, M241156_02</v>
          </cell>
          <cell r="E37" t="str">
            <v>A6749_OUTER CAP</v>
          </cell>
          <cell r="F37" t="str">
            <v>SI1516_715</v>
          </cell>
          <cell r="G37" t="e">
            <v>#VALUE!</v>
          </cell>
          <cell r="H37" t="e">
            <v>#VALUE!</v>
          </cell>
          <cell r="I37" t="str">
            <v>외경</v>
          </cell>
          <cell r="J37" t="str">
            <v>⌀68.6±0.1</v>
          </cell>
          <cell r="K37" t="e">
            <v>#VALUE!</v>
          </cell>
          <cell r="L37" t="str">
            <v>언더컷</v>
          </cell>
          <cell r="M37" t="str">
            <v>⌀64.5±0.1</v>
          </cell>
          <cell r="N37" t="e">
            <v>#VALUE!</v>
          </cell>
        </row>
        <row r="38">
          <cell r="C38" t="str">
            <v>SI1589</v>
          </cell>
          <cell r="D38" t="str">
            <v>M241148_01, M241156_02</v>
          </cell>
          <cell r="E38" t="str">
            <v>A6749_OUTER CAP</v>
          </cell>
          <cell r="F38" t="str">
            <v>SI1589_715</v>
          </cell>
          <cell r="G38" t="e">
            <v>#VALUE!</v>
          </cell>
          <cell r="H38" t="e">
            <v>#VALUE!</v>
          </cell>
          <cell r="I38" t="str">
            <v>외경</v>
          </cell>
          <cell r="J38" t="str">
            <v>⌀68.6±0.1</v>
          </cell>
          <cell r="K38" t="e">
            <v>#VALUE!</v>
          </cell>
          <cell r="L38" t="str">
            <v>언더컷</v>
          </cell>
          <cell r="M38" t="str">
            <v>⌀64.5±0.1</v>
          </cell>
          <cell r="N38" t="e">
            <v>#VALUE!</v>
          </cell>
        </row>
        <row r="39">
          <cell r="C39" t="str">
            <v>SI1515</v>
          </cell>
          <cell r="D39" t="str">
            <v>M241149_01, M241157_02</v>
          </cell>
          <cell r="E39" t="str">
            <v>A6749_CAP DECO</v>
          </cell>
          <cell r="F39" t="str">
            <v>SI1515_715</v>
          </cell>
          <cell r="G39" t="e">
            <v>#VALUE!</v>
          </cell>
          <cell r="H39" t="e">
            <v>#VALUE!</v>
          </cell>
          <cell r="K39" t="e">
            <v>#VALUE!</v>
          </cell>
          <cell r="N39" t="e">
            <v>#VALUE!</v>
          </cell>
        </row>
        <row r="40">
          <cell r="C40" t="str">
            <v>SI1588</v>
          </cell>
          <cell r="D40" t="str">
            <v>M241149_01, M241157_02</v>
          </cell>
          <cell r="E40" t="str">
            <v>A6749_CAP DECO</v>
          </cell>
          <cell r="F40" t="str">
            <v>SI1588_715</v>
          </cell>
          <cell r="G40" t="e">
            <v>#VALUE!</v>
          </cell>
          <cell r="H40" t="e">
            <v>#VALUE!</v>
          </cell>
          <cell r="K40" t="e">
            <v>#VALUE!</v>
          </cell>
          <cell r="N40" t="e">
            <v>#VALUE!</v>
          </cell>
        </row>
        <row r="41">
          <cell r="C41" t="str">
            <v>SI1519</v>
          </cell>
          <cell r="D41" t="str">
            <v>M241150_01, M241158_02</v>
          </cell>
          <cell r="E41" t="str">
            <v>A6749_INNER JAR</v>
          </cell>
          <cell r="F41" t="str">
            <v>SI1519_715</v>
          </cell>
          <cell r="G41" t="e">
            <v>#VALUE!</v>
          </cell>
          <cell r="H41" t="e">
            <v>#VALUE!</v>
          </cell>
          <cell r="K41" t="e">
            <v>#VALUE!</v>
          </cell>
          <cell r="N41" t="e">
            <v>#VALUE!</v>
          </cell>
        </row>
        <row r="42">
          <cell r="C42" t="str">
            <v>SI1519</v>
          </cell>
          <cell r="D42" t="str">
            <v>M241150_01, M241158_02</v>
          </cell>
          <cell r="E42" t="str">
            <v>A6749_INNER JAR</v>
          </cell>
          <cell r="F42" t="str">
            <v>SI1519_1127</v>
          </cell>
          <cell r="G42" t="e">
            <v>#VALUE!</v>
          </cell>
          <cell r="H42" t="e">
            <v>#VALUE!</v>
          </cell>
          <cell r="I42" t="str">
            <v>나사경</v>
          </cell>
          <cell r="J42" t="str">
            <v>⌀51.7±0.1</v>
          </cell>
          <cell r="K42" t="e">
            <v>#VALUE!</v>
          </cell>
          <cell r="M42" t="str">
            <v>⌀49.3±0.1</v>
          </cell>
          <cell r="N42" t="e">
            <v>#VALUE!</v>
          </cell>
        </row>
        <row r="43">
          <cell r="C43" t="str">
            <v>SI1518</v>
          </cell>
          <cell r="D43" t="str">
            <v>M241151_01, M241159_02</v>
          </cell>
          <cell r="E43" t="str">
            <v>A6749_OUTER JAR</v>
          </cell>
          <cell r="F43" t="str">
            <v>SI1518_715</v>
          </cell>
          <cell r="G43" t="e">
            <v>#VALUE!</v>
          </cell>
          <cell r="H43" t="e">
            <v>#VALUE!</v>
          </cell>
          <cell r="I43" t="str">
            <v>외경</v>
          </cell>
          <cell r="J43" t="str">
            <v>⌀69.0±0.1</v>
          </cell>
          <cell r="K43" t="e">
            <v>#VALUE!</v>
          </cell>
          <cell r="L43" t="str">
            <v>키잡이</v>
          </cell>
          <cell r="M43" t="str">
            <v>⌀65.4±0.1</v>
          </cell>
          <cell r="N43" t="e">
            <v>#VALUE!</v>
          </cell>
        </row>
        <row r="44">
          <cell r="C44" t="str">
            <v>SI1586</v>
          </cell>
          <cell r="D44" t="str">
            <v>M241151_01, M241159_02</v>
          </cell>
          <cell r="E44" t="str">
            <v>A6749_OUTER JAR</v>
          </cell>
          <cell r="F44" t="str">
            <v>SI1586_715</v>
          </cell>
          <cell r="G44" t="e">
            <v>#VALUE!</v>
          </cell>
          <cell r="H44" t="e">
            <v>#VALUE!</v>
          </cell>
          <cell r="I44" t="str">
            <v>외경</v>
          </cell>
          <cell r="J44" t="str">
            <v>⌀69.0±0.1</v>
          </cell>
          <cell r="K44" t="e">
            <v>#VALUE!</v>
          </cell>
          <cell r="L44" t="str">
            <v>키잡이</v>
          </cell>
          <cell r="M44" t="str">
            <v>⌀65.4±0.1</v>
          </cell>
          <cell r="N44" t="e">
            <v>#VALUE!</v>
          </cell>
        </row>
        <row r="45">
          <cell r="C45" t="str">
            <v>SI1520</v>
          </cell>
          <cell r="D45" t="str">
            <v>M241152_01, M241160_02</v>
          </cell>
          <cell r="E45" t="str">
            <v>A6749_JAR SUPPORT</v>
          </cell>
          <cell r="F45" t="str">
            <v>SI1520_715</v>
          </cell>
          <cell r="G45" t="e">
            <v>#VALUE!</v>
          </cell>
          <cell r="H45" t="e">
            <v>#VALUE!</v>
          </cell>
          <cell r="I45" t="str">
            <v>외경</v>
          </cell>
          <cell r="J45" t="str">
            <v>⌀71.8±0.1</v>
          </cell>
          <cell r="K45" t="e">
            <v>#VALUE!</v>
          </cell>
          <cell r="L45" t="str">
            <v>언더컷</v>
          </cell>
          <cell r="M45" t="str">
            <v>⌀63.2±0.1</v>
          </cell>
          <cell r="N45" t="e">
            <v>#VALUE!</v>
          </cell>
        </row>
        <row r="46">
          <cell r="C46" t="str">
            <v>SI1587</v>
          </cell>
          <cell r="D46" t="str">
            <v>M241152_01, M241160_02</v>
          </cell>
          <cell r="E46" t="str">
            <v>A6749_JAR SUPPORT</v>
          </cell>
          <cell r="F46" t="str">
            <v>SI1587_715</v>
          </cell>
          <cell r="G46" t="e">
            <v>#VALUE!</v>
          </cell>
          <cell r="H46" t="e">
            <v>#VALUE!</v>
          </cell>
          <cell r="I46" t="str">
            <v>외경</v>
          </cell>
          <cell r="J46" t="str">
            <v>⌀71.8±0.1</v>
          </cell>
          <cell r="K46" t="e">
            <v>#VALUE!</v>
          </cell>
          <cell r="L46" t="str">
            <v>언더컷</v>
          </cell>
          <cell r="M46" t="str">
            <v>⌀63.2±0.1</v>
          </cell>
          <cell r="N46" t="e">
            <v>#VALUE!</v>
          </cell>
        </row>
        <row r="47">
          <cell r="C47" t="str">
            <v>SI1089</v>
          </cell>
          <cell r="D47" t="str">
            <v>M130374_01</v>
          </cell>
          <cell r="Q47">
            <v>7454708</v>
          </cell>
        </row>
        <row r="48">
          <cell r="C48" t="str">
            <v>SI1088</v>
          </cell>
          <cell r="D48" t="str">
            <v>M130373_01</v>
          </cell>
          <cell r="Q48">
            <v>7557065</v>
          </cell>
        </row>
        <row r="49">
          <cell r="C49" t="str">
            <v>SI1557</v>
          </cell>
          <cell r="D49" t="str">
            <v>M241332-01</v>
          </cell>
          <cell r="F49">
            <v>1</v>
          </cell>
          <cell r="G49" t="e">
            <v>#VALUE!</v>
          </cell>
          <cell r="H49" t="e">
            <v>#VALUE!</v>
          </cell>
          <cell r="I49" t="str">
            <v>외경</v>
          </cell>
          <cell r="J49" t="str">
            <v>⌀45.0</v>
          </cell>
          <cell r="K49" t="e">
            <v>#VALUE!</v>
          </cell>
          <cell r="L49" t="str">
            <v>나사경</v>
          </cell>
          <cell r="M49" t="str">
            <v>⌀23.5±0.1</v>
          </cell>
        </row>
        <row r="50">
          <cell r="C50" t="str">
            <v>SI1557</v>
          </cell>
          <cell r="D50" t="str">
            <v>M241332-01</v>
          </cell>
          <cell r="F50" t="str">
            <v>SI1557_1227</v>
          </cell>
          <cell r="G50" t="e">
            <v>#VALUE!</v>
          </cell>
          <cell r="H50" t="e">
            <v>#VALUE!</v>
          </cell>
          <cell r="I50" t="str">
            <v>언더컷</v>
          </cell>
          <cell r="J50" t="str">
            <v>⌀35.7±0.1</v>
          </cell>
          <cell r="K50" t="e">
            <v>#VALUE!</v>
          </cell>
          <cell r="L50" t="str">
            <v>나사경</v>
          </cell>
          <cell r="M50" t="str">
            <v>⌀23.5±0.1</v>
          </cell>
        </row>
        <row r="51">
          <cell r="C51" t="str">
            <v>SI1557</v>
          </cell>
          <cell r="D51" t="str">
            <v>M241332-01</v>
          </cell>
          <cell r="F51" t="str">
            <v>SI1557_250122</v>
          </cell>
          <cell r="G51" t="e">
            <v>#VALUE!</v>
          </cell>
          <cell r="H51" t="e">
            <v>#VALUE!</v>
          </cell>
          <cell r="I51" t="str">
            <v>언더컷</v>
          </cell>
          <cell r="J51" t="str">
            <v>⌀35.7±0.1</v>
          </cell>
          <cell r="K51" t="e">
            <v>#VALUE!</v>
          </cell>
          <cell r="L51" t="str">
            <v>나사경</v>
          </cell>
          <cell r="M51" t="str">
            <v>⌀23.5±0.1</v>
          </cell>
        </row>
        <row r="52">
          <cell r="C52" t="str">
            <v>SI1557</v>
          </cell>
          <cell r="D52" t="str">
            <v>M241332-01</v>
          </cell>
          <cell r="F52" t="str">
            <v>SI1557_250305</v>
          </cell>
          <cell r="G52" t="e">
            <v>#VALUE!</v>
          </cell>
          <cell r="H52" t="e">
            <v>#VALUE!</v>
          </cell>
          <cell r="I52" t="str">
            <v>언더컷</v>
          </cell>
          <cell r="J52" t="str">
            <v>⌀35.7±0.1</v>
          </cell>
          <cell r="K52" t="e">
            <v>#VALUE!</v>
          </cell>
          <cell r="L52" t="str">
            <v>나사경</v>
          </cell>
          <cell r="M52" t="str">
            <v>⌀23.5±0.1</v>
          </cell>
        </row>
        <row r="53">
          <cell r="C53" t="str">
            <v>SI1558</v>
          </cell>
          <cell r="D53" t="str">
            <v>M241331-01</v>
          </cell>
          <cell r="F53">
            <v>1</v>
          </cell>
          <cell r="G53" t="e">
            <v>#VALUE!</v>
          </cell>
          <cell r="H53" t="e">
            <v>#VALUE!</v>
          </cell>
          <cell r="I53" t="str">
            <v>외경</v>
          </cell>
          <cell r="J53" t="str">
            <v>⌀44.1±0.1</v>
          </cell>
          <cell r="K53" t="e">
            <v>#VALUE!</v>
          </cell>
          <cell r="L53" t="str">
            <v>언더컷</v>
          </cell>
          <cell r="M53" t="str">
            <v>⌀43.5±0.1</v>
          </cell>
        </row>
        <row r="54">
          <cell r="C54" t="str">
            <v>SI1558</v>
          </cell>
          <cell r="D54" t="str">
            <v>M241331-01</v>
          </cell>
          <cell r="F54" t="str">
            <v>SI1558_250211</v>
          </cell>
          <cell r="G54" t="e">
            <v>#VALUE!</v>
          </cell>
          <cell r="H54" t="e">
            <v>#VALUE!</v>
          </cell>
          <cell r="I54" t="str">
            <v>외경</v>
          </cell>
          <cell r="J54" t="str">
            <v>⌀44.1±0.1</v>
          </cell>
          <cell r="K54" t="e">
            <v>#VALUE!</v>
          </cell>
          <cell r="L54" t="str">
            <v>언더컷</v>
          </cell>
          <cell r="M54" t="str">
            <v>⌀43.6±0.1</v>
          </cell>
        </row>
        <row r="55">
          <cell r="C55" t="str">
            <v>SI1558</v>
          </cell>
          <cell r="D55" t="str">
            <v>M241331-01</v>
          </cell>
          <cell r="F55" t="str">
            <v>SI1558_250305</v>
          </cell>
          <cell r="G55" t="e">
            <v>#VALUE!</v>
          </cell>
          <cell r="H55" t="e">
            <v>#VALUE!</v>
          </cell>
          <cell r="I55" t="str">
            <v>외경</v>
          </cell>
          <cell r="J55" t="str">
            <v>⌀44.2±0.1</v>
          </cell>
          <cell r="K55" t="e">
            <v>#VALUE!</v>
          </cell>
          <cell r="L55" t="str">
            <v>언더컷</v>
          </cell>
          <cell r="M55" t="str">
            <v>⌀43.6±0.1</v>
          </cell>
        </row>
        <row r="56">
          <cell r="C56" t="str">
            <v>SI1559</v>
          </cell>
          <cell r="D56" t="str">
            <v>M241336-01</v>
          </cell>
          <cell r="F56">
            <v>1</v>
          </cell>
          <cell r="G56" t="e">
            <v>#VALUE!</v>
          </cell>
          <cell r="H56" t="e">
            <v>#VALUE!</v>
          </cell>
          <cell r="I56" t="str">
            <v>외경</v>
          </cell>
          <cell r="J56" t="str">
            <v>⌀54.0</v>
          </cell>
          <cell r="K56" t="e">
            <v>#VALUE!</v>
          </cell>
          <cell r="L56" t="str">
            <v>나사경</v>
          </cell>
          <cell r="M56" t="str">
            <v>⌀23.5±0.1</v>
          </cell>
        </row>
        <row r="57">
          <cell r="C57" t="str">
            <v>SI1559</v>
          </cell>
          <cell r="D57" t="str">
            <v>M241336-01</v>
          </cell>
          <cell r="F57" t="str">
            <v>SI1559_250110</v>
          </cell>
          <cell r="G57" t="e">
            <v>#VALUE!</v>
          </cell>
          <cell r="H57" t="e">
            <v>#VALUE!</v>
          </cell>
          <cell r="I57" t="str">
            <v>외경</v>
          </cell>
          <cell r="J57" t="str">
            <v>⌀54.0</v>
          </cell>
          <cell r="K57" t="e">
            <v>#VALUE!</v>
          </cell>
          <cell r="L57" t="str">
            <v>나사경</v>
          </cell>
          <cell r="M57" t="str">
            <v>⌀23.5±0.1</v>
          </cell>
        </row>
        <row r="58">
          <cell r="C58" t="str">
            <v>SI1560</v>
          </cell>
          <cell r="D58" t="str">
            <v>M241335-01</v>
          </cell>
          <cell r="F58">
            <v>1</v>
          </cell>
          <cell r="G58" t="e">
            <v>#VALUE!</v>
          </cell>
          <cell r="H58" t="e">
            <v>#VALUE!</v>
          </cell>
          <cell r="I58" t="str">
            <v>외경</v>
          </cell>
          <cell r="J58" t="str">
            <v>⌀53.1±0.1</v>
          </cell>
          <cell r="K58" t="e">
            <v>#VALUE!</v>
          </cell>
          <cell r="L58" t="str">
            <v>언더컷</v>
          </cell>
          <cell r="M58" t="str">
            <v>⌀52.6±0.1</v>
          </cell>
        </row>
        <row r="59">
          <cell r="C59" t="str">
            <v>SI1560</v>
          </cell>
          <cell r="D59" t="str">
            <v>M241335-01</v>
          </cell>
          <cell r="F59" t="str">
            <v>SI1560_1108</v>
          </cell>
          <cell r="G59" t="e">
            <v>#VALUE!</v>
          </cell>
          <cell r="H59" t="e">
            <v>#VALUE!</v>
          </cell>
          <cell r="I59" t="str">
            <v>외경</v>
          </cell>
          <cell r="J59" t="str">
            <v>⌀53.1±0.1</v>
          </cell>
          <cell r="K59" t="e">
            <v>#VALUE!</v>
          </cell>
          <cell r="L59" t="str">
            <v>언더컷</v>
          </cell>
          <cell r="M59" t="str">
            <v>⌀52.6±0.1</v>
          </cell>
        </row>
        <row r="60">
          <cell r="C60" t="str">
            <v>SI1560</v>
          </cell>
          <cell r="D60" t="str">
            <v>M241335-01</v>
          </cell>
          <cell r="F60" t="str">
            <v>SI1560_250225</v>
          </cell>
          <cell r="G60" t="e">
            <v>#VALUE!</v>
          </cell>
          <cell r="H60" t="e">
            <v>#VALUE!</v>
          </cell>
          <cell r="I60" t="str">
            <v>외경</v>
          </cell>
          <cell r="J60" t="str">
            <v>⌀53.2±0.1</v>
          </cell>
          <cell r="K60" t="e">
            <v>#VALUE!</v>
          </cell>
          <cell r="L60" t="str">
            <v>언더컷</v>
          </cell>
          <cell r="M60" t="str">
            <v>⌀52.6±0.1</v>
          </cell>
        </row>
        <row r="61">
          <cell r="C61" t="str">
            <v>SI1562</v>
          </cell>
          <cell r="D61" t="str">
            <v>JU24-038</v>
          </cell>
        </row>
        <row r="62">
          <cell r="C62" t="str">
            <v>SI1568</v>
          </cell>
          <cell r="D62" t="str">
            <v>M211167_01</v>
          </cell>
          <cell r="F62" t="str">
            <v>SI1568_1101</v>
          </cell>
          <cell r="G62" t="e">
            <v>#VALUE!</v>
          </cell>
        </row>
        <row r="63">
          <cell r="C63" t="str">
            <v>SI1569</v>
          </cell>
          <cell r="D63" t="str">
            <v>M231323_04</v>
          </cell>
        </row>
        <row r="64">
          <cell r="C64" t="str">
            <v>SI1590</v>
          </cell>
          <cell r="D64" t="str">
            <v>M241205_02</v>
          </cell>
          <cell r="F64" t="str">
            <v>SI1590_1030</v>
          </cell>
          <cell r="G64" t="e">
            <v>#VALUE!</v>
          </cell>
          <cell r="H64" t="e">
            <v>#VALUE!</v>
          </cell>
          <cell r="I64" t="str">
            <v>외경</v>
          </cell>
          <cell r="J64" t="str">
            <v>⌀57.9±0.1</v>
          </cell>
          <cell r="K64" t="e">
            <v>#VALUE!</v>
          </cell>
          <cell r="L64" t="str">
            <v>C 포인트</v>
          </cell>
          <cell r="M64" t="str">
            <v>⌀52.8±0.05</v>
          </cell>
          <cell r="N64" t="e">
            <v>#VALUE!</v>
          </cell>
        </row>
        <row r="65">
          <cell r="C65" t="str">
            <v>SI1591</v>
          </cell>
          <cell r="D65" t="str">
            <v>M201156_02,M201161_03</v>
          </cell>
          <cell r="F65" t="str">
            <v>SI1591_1208</v>
          </cell>
          <cell r="G65" t="e">
            <v>#VALUE!</v>
          </cell>
          <cell r="H65" t="e">
            <v>#VALUE!</v>
          </cell>
          <cell r="I65" t="str">
            <v>외경</v>
          </cell>
          <cell r="J65" t="str">
            <v>⌀64.8±0.1</v>
          </cell>
          <cell r="K65" t="e">
            <v>#VALUE!</v>
          </cell>
          <cell r="L65" t="str">
            <v>나사경</v>
          </cell>
          <cell r="M65" t="str">
            <v>⌀59.4±0.1</v>
          </cell>
        </row>
        <row r="66">
          <cell r="C66" t="str">
            <v>SI1592</v>
          </cell>
          <cell r="D66" t="str">
            <v>M201158_02</v>
          </cell>
          <cell r="F66" t="str">
            <v>SI1592_1208</v>
          </cell>
          <cell r="G66" t="e">
            <v>#VALUE!</v>
          </cell>
          <cell r="H66" t="e">
            <v>#VALUE!</v>
          </cell>
          <cell r="I66" t="str">
            <v>외경</v>
          </cell>
          <cell r="J66" t="str">
            <v>⌀57.9±0.1</v>
          </cell>
          <cell r="K66" t="e">
            <v>#VALUE!</v>
          </cell>
          <cell r="L66" t="str">
            <v>C 포인트</v>
          </cell>
          <cell r="M66" t="str">
            <v>⌀52.5±0.1</v>
          </cell>
          <cell r="N66" t="e">
            <v>#VALUE!</v>
          </cell>
        </row>
        <row r="67">
          <cell r="C67" t="str">
            <v>SI1596</v>
          </cell>
          <cell r="D67" t="str">
            <v>M201159_02,M201160_03</v>
          </cell>
          <cell r="F67" t="str">
            <v>SI1596_250214</v>
          </cell>
          <cell r="G67" t="e">
            <v>#VALUE!</v>
          </cell>
          <cell r="H67" t="e">
            <v>#VALUE!</v>
          </cell>
          <cell r="I67" t="str">
            <v>언더컷</v>
          </cell>
          <cell r="J67" t="str">
            <v>⌀56.3±0.1</v>
          </cell>
          <cell r="K67" t="e">
            <v>#VALUE!</v>
          </cell>
          <cell r="L67" t="str">
            <v>나사경</v>
          </cell>
          <cell r="M67" t="str">
            <v>⌀60.9±0.1</v>
          </cell>
          <cell r="N67" t="e">
            <v>#VALUE!</v>
          </cell>
        </row>
        <row r="68">
          <cell r="C68" t="str">
            <v>SI1577</v>
          </cell>
          <cell r="D68" t="str">
            <v>M201150</v>
          </cell>
        </row>
        <row r="69">
          <cell r="C69" t="str">
            <v>SI1578</v>
          </cell>
          <cell r="D69" t="str">
            <v>M201153</v>
          </cell>
        </row>
        <row r="70">
          <cell r="C70" t="str">
            <v>SI1579</v>
          </cell>
          <cell r="D70" t="str">
            <v>A100030</v>
          </cell>
        </row>
        <row r="71">
          <cell r="C71" t="str">
            <v>SI1580</v>
          </cell>
          <cell r="D71" t="str">
            <v>M211167</v>
          </cell>
        </row>
        <row r="72">
          <cell r="C72" t="str">
            <v>SI1581</v>
          </cell>
          <cell r="D72" t="str">
            <v>M201128</v>
          </cell>
        </row>
        <row r="73">
          <cell r="C73" t="str">
            <v>SI1582</v>
          </cell>
          <cell r="D73" t="str">
            <v>M241190_02</v>
          </cell>
        </row>
        <row r="74">
          <cell r="C74" t="str">
            <v>SI1583</v>
          </cell>
          <cell r="D74" t="str">
            <v>M241191_02</v>
          </cell>
        </row>
        <row r="75">
          <cell r="C75" t="str">
            <v>SI1584</v>
          </cell>
          <cell r="D75" t="str">
            <v>M241192_02</v>
          </cell>
        </row>
        <row r="76">
          <cell r="C76" t="str">
            <v>SI1585</v>
          </cell>
          <cell r="D76" t="str">
            <v>M241193_02</v>
          </cell>
        </row>
        <row r="77">
          <cell r="C77" t="str">
            <v>SI1597</v>
          </cell>
          <cell r="D77" t="str">
            <v>A160222</v>
          </cell>
          <cell r="F77" t="str">
            <v>SI1597_150515</v>
          </cell>
          <cell r="G77" t="e">
            <v>#VALUE!</v>
          </cell>
          <cell r="H77" t="e">
            <v>#VALUE!</v>
          </cell>
          <cell r="I77" t="str">
            <v>나사경</v>
          </cell>
          <cell r="J77" t="str">
            <v>⌀21.8±0.1</v>
          </cell>
          <cell r="K77" t="e">
            <v>#VALUE!</v>
          </cell>
          <cell r="L77" t="str">
            <v>외경</v>
          </cell>
          <cell r="M77" t="str">
            <v>⌀42.8±0.1</v>
          </cell>
        </row>
        <row r="78">
          <cell r="C78" t="str">
            <v>SI1595</v>
          </cell>
          <cell r="D78" t="str">
            <v>M231269</v>
          </cell>
        </row>
        <row r="79">
          <cell r="C79" t="str">
            <v>SI1600</v>
          </cell>
          <cell r="D79" t="str">
            <v>M251058_01</v>
          </cell>
          <cell r="E79" t="str">
            <v>A6849_CAP</v>
          </cell>
          <cell r="F79" t="str">
            <v>SI1600_250408</v>
          </cell>
          <cell r="G79" t="e">
            <v>#VALUE!</v>
          </cell>
          <cell r="H79" t="e">
            <v>#VALUE!</v>
          </cell>
          <cell r="I79" t="str">
            <v>나사경</v>
          </cell>
          <cell r="J79" t="str">
            <v>⌀68.8±0.1</v>
          </cell>
          <cell r="K79" t="e">
            <v>#VALUE!</v>
          </cell>
          <cell r="L79" t="str">
            <v>외경</v>
          </cell>
          <cell r="M79" t="str">
            <v>⌀79.8±0.1</v>
          </cell>
        </row>
        <row r="80">
          <cell r="C80" t="str">
            <v>SI1600</v>
          </cell>
          <cell r="D80" t="str">
            <v>M251058_01</v>
          </cell>
          <cell r="E80" t="str">
            <v>A6849_CAP</v>
          </cell>
          <cell r="F80" t="str">
            <v>SI1600_250304</v>
          </cell>
          <cell r="G80" t="e">
            <v>#VALUE!</v>
          </cell>
          <cell r="H80" t="e">
            <v>#VALUE!</v>
          </cell>
          <cell r="I80" t="str">
            <v>나사경</v>
          </cell>
          <cell r="J80" t="str">
            <v>⌀68.8±0.1</v>
          </cell>
          <cell r="K80" t="e">
            <v>#VALUE!</v>
          </cell>
          <cell r="L80" t="str">
            <v>외경</v>
          </cell>
          <cell r="M80" t="str">
            <v>⌀79.8±0.1</v>
          </cell>
        </row>
        <row r="81">
          <cell r="C81" t="str">
            <v>SI1601</v>
          </cell>
          <cell r="D81" t="str">
            <v>M251059_01</v>
          </cell>
          <cell r="E81" t="str">
            <v>A6849_JAR</v>
          </cell>
          <cell r="F81" t="str">
            <v>SI1601_250619</v>
          </cell>
          <cell r="G81" t="e">
            <v>#VALUE!</v>
          </cell>
          <cell r="H81" t="e">
            <v>#VALUE!</v>
          </cell>
          <cell r="I81" t="str">
            <v>나사경</v>
          </cell>
          <cell r="J81" t="str">
            <v>⌀70.4±0.1</v>
          </cell>
          <cell r="L81" t="str">
            <v>외경</v>
          </cell>
          <cell r="M81">
            <v>80.400000000000006</v>
          </cell>
        </row>
        <row r="82">
          <cell r="C82" t="str">
            <v>SI1601</v>
          </cell>
          <cell r="D82" t="str">
            <v>M251059_01</v>
          </cell>
          <cell r="E82" t="str">
            <v>A6849_JAR</v>
          </cell>
          <cell r="F82" t="str">
            <v>SI1601_250304</v>
          </cell>
          <cell r="G82" t="e">
            <v>#VALUE!</v>
          </cell>
          <cell r="H82" t="e">
            <v>#VALUE!</v>
          </cell>
          <cell r="I82" t="str">
            <v>나사경</v>
          </cell>
          <cell r="J82" t="str">
            <v>⌀70.4±0.1</v>
          </cell>
          <cell r="L82" t="str">
            <v>외경</v>
          </cell>
          <cell r="M82">
            <v>80.400000000000006</v>
          </cell>
        </row>
        <row r="83">
          <cell r="C83" t="str">
            <v>SI1598</v>
          </cell>
          <cell r="D83" t="str">
            <v>M201156_02,M201161_03</v>
          </cell>
          <cell r="E83" t="str">
            <v>A6205_CAP</v>
          </cell>
          <cell r="F83" t="str">
            <v>SI1598_1208</v>
          </cell>
          <cell r="G83" t="e">
            <v>#VALUE!</v>
          </cell>
          <cell r="H83" t="e">
            <v>#VALUE!</v>
          </cell>
          <cell r="I83" t="str">
            <v>외경</v>
          </cell>
          <cell r="J83" t="str">
            <v>⌀64.8±0.1</v>
          </cell>
          <cell r="K83" t="e">
            <v>#VALUE!</v>
          </cell>
          <cell r="L83" t="str">
            <v>나사경</v>
          </cell>
          <cell r="M83" t="str">
            <v>⌀59.4±0.1</v>
          </cell>
        </row>
        <row r="84">
          <cell r="C84" t="str">
            <v>SI1599</v>
          </cell>
          <cell r="D84" t="str">
            <v>M201158_02</v>
          </cell>
          <cell r="E84" t="str">
            <v>A6205_INNER JAR</v>
          </cell>
          <cell r="F84" t="str">
            <v>SI1599_1208</v>
          </cell>
          <cell r="G84" t="e">
            <v>#VALUE!</v>
          </cell>
          <cell r="H84" t="e">
            <v>#VALUE!</v>
          </cell>
          <cell r="I84" t="str">
            <v>외경</v>
          </cell>
          <cell r="J84" t="str">
            <v>⌀57.9±0.1</v>
          </cell>
          <cell r="K84" t="e">
            <v>#VALUE!</v>
          </cell>
          <cell r="L84" t="str">
            <v>C 포인트</v>
          </cell>
          <cell r="M84" t="str">
            <v>⌀52.5±0.1</v>
          </cell>
          <cell r="N84" t="e">
            <v>#VALUE!</v>
          </cell>
        </row>
        <row r="85">
          <cell r="C85" t="str">
            <v>SI1603</v>
          </cell>
          <cell r="E85" t="str">
            <v>A0030</v>
          </cell>
          <cell r="F85" t="str">
            <v>SI1603_221110</v>
          </cell>
          <cell r="G85" t="e">
            <v>#VALUE!</v>
          </cell>
          <cell r="H85" t="e">
            <v>#VALUE!</v>
          </cell>
          <cell r="I85" t="str">
            <v>외경</v>
          </cell>
          <cell r="J85" t="str">
            <v>43.4±0.1</v>
          </cell>
          <cell r="K85" t="e">
            <v>#VALUE!</v>
          </cell>
          <cell r="L85" t="str">
            <v>내경</v>
          </cell>
          <cell r="M85" t="str">
            <v>⌀27.6±0.1</v>
          </cell>
          <cell r="N85" t="e">
            <v>#VALUE!</v>
          </cell>
          <cell r="O85" t="str">
            <v>내고</v>
          </cell>
          <cell r="P85" t="str">
            <v>⌀20.4±0.1</v>
          </cell>
        </row>
        <row r="86">
          <cell r="C86" t="str">
            <v>SI1605</v>
          </cell>
          <cell r="D86" t="str">
            <v>M251109_01</v>
          </cell>
          <cell r="E86" t="str">
            <v>A6855_OUTER CAP</v>
          </cell>
          <cell r="F86" t="str">
            <v>SI1605_250408</v>
          </cell>
          <cell r="G86" t="e">
            <v>#VALUE!</v>
          </cell>
          <cell r="H86" t="e">
            <v>#VALUE!</v>
          </cell>
          <cell r="I86" t="str">
            <v>외경</v>
          </cell>
          <cell r="J86" t="str">
            <v>⌀50.6±0.1</v>
          </cell>
          <cell r="K86" t="e">
            <v>#VALUE!</v>
          </cell>
          <cell r="L86" t="str">
            <v>키잡이</v>
          </cell>
          <cell r="M86" t="str">
            <v>⌀48.4±0.1</v>
          </cell>
          <cell r="N86" t="e">
            <v>#VALUE!</v>
          </cell>
          <cell r="O86" t="str">
            <v>내경</v>
          </cell>
          <cell r="P86" t="str">
            <v>⌀47.0±0.1</v>
          </cell>
        </row>
        <row r="87">
          <cell r="C87" t="str">
            <v>SI1606</v>
          </cell>
          <cell r="D87" t="str">
            <v>M251108_01</v>
          </cell>
          <cell r="E87" t="str">
            <v>A6855_INNER CAP</v>
          </cell>
          <cell r="F87" t="str">
            <v>SI1606_250617</v>
          </cell>
          <cell r="G87" t="e">
            <v>#VALUE!</v>
          </cell>
          <cell r="H87" t="e">
            <v>#VALUE!</v>
          </cell>
          <cell r="I87" t="str">
            <v>나사경</v>
          </cell>
          <cell r="J87" t="str">
            <v>⌀22.4±0.1</v>
          </cell>
          <cell r="K87" t="e">
            <v>#VALUE!</v>
          </cell>
          <cell r="L87" t="str">
            <v>언더컷</v>
          </cell>
          <cell r="M87" t="str">
            <v>⌀47.9±0.1</v>
          </cell>
          <cell r="N87" t="e">
            <v>#VALUE!</v>
          </cell>
          <cell r="O87" t="str">
            <v>외경</v>
          </cell>
          <cell r="P87" t="str">
            <v>⌀48.4±0.1</v>
          </cell>
        </row>
        <row r="88">
          <cell r="C88" t="str">
            <v>SI1606</v>
          </cell>
          <cell r="D88" t="str">
            <v>M251108_01</v>
          </cell>
          <cell r="E88" t="str">
            <v>A6855_INNER CAP</v>
          </cell>
          <cell r="F88" t="str">
            <v>SI1606_250408</v>
          </cell>
          <cell r="G88" t="e">
            <v>#VALUE!</v>
          </cell>
          <cell r="H88" t="e">
            <v>#VALUE!</v>
          </cell>
          <cell r="I88" t="str">
            <v>나사경</v>
          </cell>
          <cell r="J88" t="str">
            <v>⌀22.4±0.1</v>
          </cell>
          <cell r="K88" t="e">
            <v>#VALUE!</v>
          </cell>
          <cell r="L88" t="str">
            <v>언더컷</v>
          </cell>
          <cell r="M88" t="str">
            <v>⌀47.9±0.1</v>
          </cell>
          <cell r="N88" t="e">
            <v>#VALUE!</v>
          </cell>
          <cell r="O88" t="str">
            <v>외경</v>
          </cell>
          <cell r="P88" t="str">
            <v>⌀48.4±0.1</v>
          </cell>
        </row>
        <row r="89">
          <cell r="C89" t="str">
            <v>SI1609</v>
          </cell>
          <cell r="D89" t="str">
            <v>M251165_01</v>
          </cell>
          <cell r="E89" t="str">
            <v>A6866_OUTER CAP</v>
          </cell>
          <cell r="F89" t="str">
            <v>SI1609_250519</v>
          </cell>
          <cell r="G89" t="e">
            <v>#VALUE!</v>
          </cell>
          <cell r="H89" t="e">
            <v>#VALUE!</v>
          </cell>
          <cell r="I89" t="str">
            <v>A</v>
          </cell>
          <cell r="J89" t="str">
            <v>⌀37.0</v>
          </cell>
          <cell r="K89" t="e">
            <v>#VALUE!</v>
          </cell>
          <cell r="L89" t="str">
            <v>B</v>
          </cell>
          <cell r="M89" t="str">
            <v>⌀33.6±0.1</v>
          </cell>
          <cell r="N89" t="e">
            <v>#VALUE!</v>
          </cell>
          <cell r="O89" t="str">
            <v>C</v>
          </cell>
          <cell r="P89" t="str">
            <v>⌀31.05±0.1</v>
          </cell>
        </row>
        <row r="90">
          <cell r="C90" t="str">
            <v>SI1610</v>
          </cell>
          <cell r="D90" t="str">
            <v>M251167_01</v>
          </cell>
          <cell r="E90" t="str">
            <v>A6866_CAP DECO</v>
          </cell>
          <cell r="F90" t="str">
            <v>SI1610_250519</v>
          </cell>
          <cell r="G90" t="e">
            <v>#VALUE!</v>
          </cell>
          <cell r="H90" t="e">
            <v>#VALUE!</v>
          </cell>
          <cell r="I90" t="str">
            <v>A</v>
          </cell>
          <cell r="J90" t="str">
            <v>⌀36.8</v>
          </cell>
          <cell r="K90" t="e">
            <v>#VALUE!</v>
          </cell>
          <cell r="L90" t="str">
            <v>B</v>
          </cell>
          <cell r="M90" t="str">
            <v>⌀32.8±0.1</v>
          </cell>
        </row>
        <row r="91">
          <cell r="C91" t="str">
            <v>SI1611</v>
          </cell>
          <cell r="D91" t="str">
            <v>M251166_01</v>
          </cell>
          <cell r="E91" t="str">
            <v>A6866_INNER CAP</v>
          </cell>
          <cell r="F91" t="str">
            <v>SI1611_250519</v>
          </cell>
          <cell r="G91" t="e">
            <v>#VALUE!</v>
          </cell>
          <cell r="H91" t="e">
            <v>#VALUE!</v>
          </cell>
          <cell r="I91" t="str">
            <v>A</v>
          </cell>
          <cell r="J91" t="str">
            <v>⌀31.8±0.1</v>
          </cell>
          <cell r="K91" t="e">
            <v>#VALUE!</v>
          </cell>
          <cell r="L91" t="str">
            <v>B</v>
          </cell>
          <cell r="M91" t="str">
            <v>⌀30.9±0.1</v>
          </cell>
          <cell r="N91" t="e">
            <v>#VALUE!</v>
          </cell>
          <cell r="O91" t="str">
            <v>C</v>
          </cell>
          <cell r="P91" t="str">
            <v>⌀18.8±0.1</v>
          </cell>
        </row>
        <row r="92">
          <cell r="C92" t="str">
            <v>SI1614</v>
          </cell>
          <cell r="D92" t="str">
            <v>M251184_01</v>
          </cell>
          <cell r="E92" t="str">
            <v>A6867_INNER CAP</v>
          </cell>
          <cell r="F92" t="str">
            <v>SI1614_250725</v>
          </cell>
          <cell r="G92" t="e">
            <v>#VALUE!</v>
          </cell>
          <cell r="H92" t="e">
            <v>#VALUE!</v>
          </cell>
          <cell r="I92" t="str">
            <v>키잡이</v>
          </cell>
          <cell r="J92" t="str">
            <v>⌀82.3±0.1</v>
          </cell>
          <cell r="K92" t="e">
            <v>#VALUE!</v>
          </cell>
          <cell r="L92" t="str">
            <v>언더컷</v>
          </cell>
          <cell r="M92" t="str">
            <v>⌀81.3±0.1</v>
          </cell>
          <cell r="N92" t="e">
            <v>#VALUE!</v>
          </cell>
          <cell r="O92" t="str">
            <v>언더컷2</v>
          </cell>
          <cell r="P92" t="str">
            <v>⌀80.2±0.1</v>
          </cell>
          <cell r="Q92">
            <v>7567053</v>
          </cell>
        </row>
        <row r="93">
          <cell r="C93" t="str">
            <v>SI1614</v>
          </cell>
          <cell r="D93" t="str">
            <v>M251184_01</v>
          </cell>
          <cell r="E93" t="str">
            <v>A6867_INNER CAP</v>
          </cell>
          <cell r="F93" t="str">
            <v>SI1614_250704</v>
          </cell>
          <cell r="G93" t="e">
            <v>#VALUE!</v>
          </cell>
          <cell r="H93" t="e">
            <v>#VALUE!</v>
          </cell>
          <cell r="I93" t="str">
            <v>키잡이</v>
          </cell>
          <cell r="J93" t="str">
            <v>⌀82.3±0.1</v>
          </cell>
          <cell r="K93" t="e">
            <v>#VALUE!</v>
          </cell>
          <cell r="L93" t="str">
            <v>외경</v>
          </cell>
          <cell r="M93" t="str">
            <v>⌀80.8±0.1</v>
          </cell>
          <cell r="N93" t="e">
            <v>#VALUE!</v>
          </cell>
          <cell r="O93" t="str">
            <v>나사경</v>
          </cell>
          <cell r="P93" t="str">
            <v>⌀74.8±0.1</v>
          </cell>
          <cell r="Q93">
            <v>7567053</v>
          </cell>
        </row>
        <row r="94">
          <cell r="C94" t="str">
            <v>SI1615</v>
          </cell>
          <cell r="D94" t="str">
            <v>M251185_01</v>
          </cell>
          <cell r="E94" t="str">
            <v>A6867_CAP DECO</v>
          </cell>
          <cell r="F94" t="str">
            <v>SI1615_250725</v>
          </cell>
          <cell r="G94" t="e">
            <v>#VALUE!</v>
          </cell>
          <cell r="H94" t="e">
            <v>#VALUE!</v>
          </cell>
          <cell r="I94" t="str">
            <v>외경</v>
          </cell>
          <cell r="J94" t="str">
            <v>⌀84.8±0.1</v>
          </cell>
          <cell r="K94" t="e">
            <v>#VALUE!</v>
          </cell>
          <cell r="L94" t="str">
            <v>언더컷</v>
          </cell>
          <cell r="M94" t="str">
            <v>⌀79.7±0.1</v>
          </cell>
          <cell r="N94"/>
          <cell r="O94"/>
          <cell r="P94"/>
          <cell r="Q94">
            <v>7567053</v>
          </cell>
        </row>
        <row r="95">
          <cell r="C95" t="str">
            <v>SI1615</v>
          </cell>
          <cell r="D95" t="str">
            <v>M251185_01</v>
          </cell>
          <cell r="E95" t="str">
            <v>A6867_CAP DECO</v>
          </cell>
          <cell r="F95" t="str">
            <v>SI1615_250704</v>
          </cell>
          <cell r="G95" t="e">
            <v>#VALUE!</v>
          </cell>
          <cell r="H95" t="e">
            <v>#VALUE!</v>
          </cell>
          <cell r="I95" t="str">
            <v>외경</v>
          </cell>
          <cell r="J95" t="str">
            <v>⌀84.8±0.1</v>
          </cell>
          <cell r="K95" t="e">
            <v>#VALUE!</v>
          </cell>
          <cell r="L95" t="str">
            <v>언더컷</v>
          </cell>
          <cell r="M95" t="str">
            <v>⌀79.7±0.1</v>
          </cell>
          <cell r="N95" t="e">
            <v>#VALUE!</v>
          </cell>
          <cell r="O95" t="str">
            <v>입구경</v>
          </cell>
          <cell r="P95" t="str">
            <v>⌀77.0±0.1</v>
          </cell>
          <cell r="Q95">
            <v>7567053</v>
          </cell>
        </row>
        <row r="96">
          <cell r="C96" t="str">
            <v>SI1616</v>
          </cell>
          <cell r="D96" t="str">
            <v>M251186_01</v>
          </cell>
          <cell r="E96" t="str">
            <v>A6867_DISC</v>
          </cell>
          <cell r="F96" t="str">
            <v>SI1616_250725</v>
          </cell>
          <cell r="G96" t="e">
            <v>#VALUE!</v>
          </cell>
          <cell r="H96" t="e">
            <v>#VALUE!</v>
          </cell>
          <cell r="I96" t="str">
            <v>A</v>
          </cell>
          <cell r="J96" t="str">
            <v>⌀58.3±0.1</v>
          </cell>
          <cell r="K96" t="e">
            <v>#VALUE!</v>
          </cell>
          <cell r="L96" t="str">
            <v>외경</v>
          </cell>
          <cell r="M96" t="str">
            <v>⌀63.1±0.1</v>
          </cell>
          <cell r="N96" t="e">
            <v>#VALUE!</v>
          </cell>
          <cell r="O96" t="str">
            <v>내경</v>
          </cell>
          <cell r="P96" t="str">
            <v>⌀56.2±0.1</v>
          </cell>
          <cell r="Q96">
            <v>7567054</v>
          </cell>
        </row>
        <row r="97">
          <cell r="C97" t="str">
            <v>SI1616</v>
          </cell>
          <cell r="D97" t="str">
            <v>M251186_01</v>
          </cell>
          <cell r="E97" t="str">
            <v>A6867_DISC</v>
          </cell>
          <cell r="F97" t="str">
            <v>SI1616_250704</v>
          </cell>
          <cell r="G97" t="e">
            <v>#VALUE!</v>
          </cell>
          <cell r="H97" t="e">
            <v>#VALUE!</v>
          </cell>
          <cell r="I97" t="str">
            <v>A</v>
          </cell>
          <cell r="J97" t="str">
            <v>⌀58.3±0.1</v>
          </cell>
          <cell r="K97" t="e">
            <v>#VALUE!</v>
          </cell>
          <cell r="L97" t="str">
            <v>외경</v>
          </cell>
          <cell r="M97" t="str">
            <v>⌀63.1±0.1</v>
          </cell>
          <cell r="N97" t="e">
            <v>#VALUE!</v>
          </cell>
          <cell r="O97" t="str">
            <v>내경</v>
          </cell>
          <cell r="P97" t="str">
            <v>⌀56.2±0.1</v>
          </cell>
          <cell r="Q97">
            <v>7567054</v>
          </cell>
        </row>
        <row r="98">
          <cell r="C98" t="str">
            <v>SI1617</v>
          </cell>
          <cell r="D98" t="str">
            <v>M251188_01</v>
          </cell>
          <cell r="E98" t="str">
            <v>A6867_MID JAR</v>
          </cell>
          <cell r="F98" t="str">
            <v>SI1617_250725</v>
          </cell>
          <cell r="G98" t="e">
            <v>#VALUE!</v>
          </cell>
          <cell r="H98" t="e">
            <v>#VALUE!</v>
          </cell>
          <cell r="I98" t="str">
            <v>외경</v>
          </cell>
          <cell r="J98" t="str">
            <v>⌀64.7±0.1</v>
          </cell>
          <cell r="K98" t="e">
            <v>#VALUE!</v>
          </cell>
          <cell r="L98" t="str">
            <v>내경</v>
          </cell>
          <cell r="M98" t="str">
            <v>⌀61.7</v>
          </cell>
          <cell r="N98" t="e">
            <v>#VALUE!</v>
          </cell>
          <cell r="O98" t="str">
            <v>언더컷</v>
          </cell>
          <cell r="P98" t="str">
            <v>⌀61.6±0.1</v>
          </cell>
          <cell r="Q98">
            <v>7567056</v>
          </cell>
        </row>
        <row r="99">
          <cell r="C99" t="str">
            <v>SI1617</v>
          </cell>
          <cell r="D99" t="str">
            <v>M251188_01</v>
          </cell>
          <cell r="E99" t="str">
            <v>A6867_MID JAR</v>
          </cell>
          <cell r="F99" t="str">
            <v>SI1617_250704</v>
          </cell>
          <cell r="G99" t="e">
            <v>#VALUE!</v>
          </cell>
          <cell r="H99" t="e">
            <v>#VALUE!</v>
          </cell>
          <cell r="I99" t="str">
            <v>A</v>
          </cell>
          <cell r="J99" t="str">
            <v>⌀64.7±0.1</v>
          </cell>
          <cell r="K99" t="e">
            <v>#VALUE!</v>
          </cell>
          <cell r="L99" t="str">
            <v>내경</v>
          </cell>
          <cell r="M99" t="str">
            <v>⌀61.7</v>
          </cell>
          <cell r="N99" t="e">
            <v>#VALUE!</v>
          </cell>
          <cell r="O99" t="str">
            <v>C</v>
          </cell>
          <cell r="P99" t="str">
            <v>⌀30.0±0.1</v>
          </cell>
          <cell r="Q99">
            <v>7567056</v>
          </cell>
        </row>
        <row r="100">
          <cell r="C100" t="str">
            <v>SI1618</v>
          </cell>
          <cell r="D100" t="str">
            <v>M251187_01</v>
          </cell>
          <cell r="E100" t="str">
            <v>A6867_INNER JAR</v>
          </cell>
          <cell r="F100" t="str">
            <v>SI1618_250725</v>
          </cell>
          <cell r="G100" t="e">
            <v>#VALUE!</v>
          </cell>
          <cell r="H100" t="e">
            <v>#VALUE!</v>
          </cell>
          <cell r="I100" t="str">
            <v>언더컷</v>
          </cell>
          <cell r="J100" t="str">
            <v>⌀62.0±0.1</v>
          </cell>
          <cell r="K100" t="e">
            <v>#VALUE!</v>
          </cell>
          <cell r="L100" t="str">
            <v>언더컷2</v>
          </cell>
          <cell r="M100" t="str">
            <v>⌀61.7±0.1</v>
          </cell>
          <cell r="N100" t="e">
            <v>#VALUE!</v>
          </cell>
          <cell r="O100" t="str">
            <v>내경</v>
          </cell>
          <cell r="P100" t="str">
            <v>⌀58.9±0.1</v>
          </cell>
          <cell r="Q100">
            <v>7567056</v>
          </cell>
        </row>
        <row r="101">
          <cell r="C101" t="str">
            <v>SI1618</v>
          </cell>
          <cell r="D101" t="str">
            <v>M251187_01</v>
          </cell>
          <cell r="E101" t="str">
            <v>A6867_INNER JAR</v>
          </cell>
          <cell r="F101" t="str">
            <v>SI1618_250704</v>
          </cell>
          <cell r="G101" t="e">
            <v>#VALUE!</v>
          </cell>
          <cell r="H101" t="e">
            <v>#VALUE!</v>
          </cell>
          <cell r="I101" t="str">
            <v>외경</v>
          </cell>
          <cell r="J101" t="str">
            <v>⌀73.4±0.1</v>
          </cell>
          <cell r="K101" t="e">
            <v>#VALUE!</v>
          </cell>
          <cell r="L101" t="str">
            <v>언더컷</v>
          </cell>
          <cell r="M101" t="str">
            <v>⌀61.7±0.1</v>
          </cell>
          <cell r="N101" t="e">
            <v>#VALUE!</v>
          </cell>
          <cell r="O101" t="str">
            <v>내경</v>
          </cell>
          <cell r="P101" t="str">
            <v>⌀58.9±0.1</v>
          </cell>
          <cell r="Q101">
            <v>7567056</v>
          </cell>
        </row>
        <row r="102">
          <cell r="C102" t="str">
            <v>SI1619</v>
          </cell>
          <cell r="D102" t="str">
            <v>M251189_01</v>
          </cell>
          <cell r="E102" t="str">
            <v>A6867_OUTER JAR</v>
          </cell>
          <cell r="F102" t="str">
            <v>SI1619_250725</v>
          </cell>
          <cell r="G102" t="e">
            <v>#VALUE!</v>
          </cell>
          <cell r="H102" t="e">
            <v>#VALUE!</v>
          </cell>
          <cell r="I102" t="str">
            <v>나사경</v>
          </cell>
          <cell r="J102" t="str">
            <v>⌀76.4±0.1</v>
          </cell>
          <cell r="K102" t="e">
            <v>#VALUE!</v>
          </cell>
          <cell r="L102" t="str">
            <v>언더컷B</v>
          </cell>
          <cell r="M102" t="str">
            <v>⌀71.6±0.1</v>
          </cell>
          <cell r="N102" t="e">
            <v>#VALUE!</v>
          </cell>
          <cell r="O102" t="str">
            <v>언더컷</v>
          </cell>
          <cell r="P102" t="str">
            <v>⌀72.9±0.1</v>
          </cell>
          <cell r="Q102">
            <v>7567057</v>
          </cell>
        </row>
        <row r="103">
          <cell r="C103" t="str">
            <v>SI1619</v>
          </cell>
          <cell r="D103" t="str">
            <v>M251189_01</v>
          </cell>
          <cell r="E103" t="str">
            <v>A6867_OUTER JAR</v>
          </cell>
          <cell r="F103" t="str">
            <v>SI1619_250704</v>
          </cell>
          <cell r="G103" t="e">
            <v>#VALUE!</v>
          </cell>
          <cell r="H103" t="e">
            <v>#VALUE!</v>
          </cell>
          <cell r="I103" t="str">
            <v>나사경</v>
          </cell>
          <cell r="J103" t="str">
            <v>⌀76.4±0.1</v>
          </cell>
          <cell r="K103" t="e">
            <v>#VALUE!</v>
          </cell>
          <cell r="L103" t="str">
            <v>입구경</v>
          </cell>
          <cell r="M103" t="str">
            <v>⌀65.4±0.1</v>
          </cell>
          <cell r="N103" t="e">
            <v>#VALUE!</v>
          </cell>
          <cell r="O103" t="str">
            <v>C</v>
          </cell>
          <cell r="P103" t="str">
            <v>⌀72.9±0.1</v>
          </cell>
          <cell r="Q103">
            <v>7567057</v>
          </cell>
        </row>
        <row r="104">
          <cell r="C104" t="str">
            <v>SI1620</v>
          </cell>
          <cell r="D104" t="str">
            <v>M251190_01</v>
          </cell>
          <cell r="E104" t="str">
            <v>A6867_JAR SUPPORT</v>
          </cell>
          <cell r="F104" t="str">
            <v>SI1620_250801</v>
          </cell>
          <cell r="G104" t="e">
            <v>#VALUE!</v>
          </cell>
          <cell r="H104" t="e">
            <v>#VALUE!</v>
          </cell>
          <cell r="I104" t="str">
            <v>외경</v>
          </cell>
          <cell r="J104" t="str">
            <v>⌀90.3±0.1</v>
          </cell>
          <cell r="K104" t="e">
            <v>#VALUE!</v>
          </cell>
          <cell r="L104" t="str">
            <v>언더컷</v>
          </cell>
          <cell r="M104" t="str">
            <v>⌀76.1±0.1</v>
          </cell>
          <cell r="P104"/>
          <cell r="Q104">
            <v>7567057</v>
          </cell>
        </row>
        <row r="105">
          <cell r="C105" t="str">
            <v>SI1620</v>
          </cell>
          <cell r="D105" t="str">
            <v>M251190_01</v>
          </cell>
          <cell r="E105" t="str">
            <v>A6867_JAR SUPPORT</v>
          </cell>
          <cell r="F105" t="str">
            <v>SI1620_250704</v>
          </cell>
          <cell r="G105" t="e">
            <v>#VALUE!</v>
          </cell>
          <cell r="H105" t="e">
            <v>#VALUE!</v>
          </cell>
          <cell r="I105" t="str">
            <v>외경</v>
          </cell>
          <cell r="J105" t="str">
            <v>⌀90.3±0.1</v>
          </cell>
          <cell r="K105" t="e">
            <v>#VALUE!</v>
          </cell>
          <cell r="L105" t="str">
            <v>언더컷</v>
          </cell>
          <cell r="M105" t="str">
            <v>⌀76.1±0.1</v>
          </cell>
          <cell r="N105" t="e">
            <v>#VALUE!</v>
          </cell>
          <cell r="O105" t="str">
            <v>내경</v>
          </cell>
          <cell r="P105" t="str">
            <v>⌀87.8±0.1</v>
          </cell>
          <cell r="Q105">
            <v>7567057</v>
          </cell>
        </row>
        <row r="106">
          <cell r="C106" t="str">
            <v>SI1621</v>
          </cell>
          <cell r="D106" t="str">
            <v>M251191_01</v>
          </cell>
          <cell r="E106" t="str">
            <v>A6867_SHOULDER</v>
          </cell>
          <cell r="F106" t="str">
            <v>SI1621_250801</v>
          </cell>
          <cell r="G106" t="e">
            <v>#VALUE!</v>
          </cell>
          <cell r="H106" t="e">
            <v>#VALUE!</v>
          </cell>
          <cell r="I106" t="str">
            <v>외경</v>
          </cell>
          <cell r="J106" t="str">
            <v>⌀94.1±0.1</v>
          </cell>
          <cell r="K106" t="e">
            <v>#VALUE!</v>
          </cell>
          <cell r="L106" t="str">
            <v>내경</v>
          </cell>
          <cell r="M106" t="str">
            <v>⌀73.4±0.1</v>
          </cell>
          <cell r="N106" t="e">
            <v>#VALUE!</v>
          </cell>
          <cell r="O106" t="str">
            <v>언더컷</v>
          </cell>
          <cell r="P106" t="str">
            <v>⌀72.4±0.1</v>
          </cell>
          <cell r="Q106">
            <v>7567057</v>
          </cell>
        </row>
        <row r="107">
          <cell r="C107" t="str">
            <v>SI1621</v>
          </cell>
          <cell r="D107" t="str">
            <v>M251191_01</v>
          </cell>
          <cell r="E107" t="str">
            <v>A6867_SHOULDER</v>
          </cell>
          <cell r="F107" t="str">
            <v>SI1621_250725</v>
          </cell>
          <cell r="G107" t="e">
            <v>#VALUE!</v>
          </cell>
          <cell r="H107" t="e">
            <v>#VALUE!</v>
          </cell>
          <cell r="I107" t="str">
            <v>외경</v>
          </cell>
          <cell r="J107" t="str">
            <v>⌀94.1±0.1</v>
          </cell>
          <cell r="K107" t="e">
            <v>#VALUE!</v>
          </cell>
          <cell r="L107" t="str">
            <v>내경</v>
          </cell>
          <cell r="M107" t="str">
            <v>⌀73.4±0.1</v>
          </cell>
          <cell r="N107" t="e">
            <v>#VALUE!</v>
          </cell>
          <cell r="O107" t="str">
            <v>언더컷</v>
          </cell>
          <cell r="P107" t="str">
            <v>⌀72.4±0.1</v>
          </cell>
          <cell r="Q107">
            <v>7567057</v>
          </cell>
        </row>
        <row r="108">
          <cell r="C108" t="str">
            <v>SI1621</v>
          </cell>
          <cell r="D108" t="str">
            <v>M251191_01</v>
          </cell>
          <cell r="E108" t="str">
            <v>A6867_SHOULDER</v>
          </cell>
          <cell r="F108" t="str">
            <v>SI1621_250704</v>
          </cell>
          <cell r="G108" t="e">
            <v>#VALUE!</v>
          </cell>
          <cell r="H108" t="e">
            <v>#VALUE!</v>
          </cell>
          <cell r="I108" t="str">
            <v>외경</v>
          </cell>
          <cell r="J108" t="str">
            <v>⌀94.1±0.1</v>
          </cell>
          <cell r="K108" t="e">
            <v>#VALUE!</v>
          </cell>
          <cell r="L108" t="str">
            <v>내경1</v>
          </cell>
          <cell r="M108" t="str">
            <v>⌀73.4±0.1</v>
          </cell>
          <cell r="N108" t="e">
            <v>#VALUE!</v>
          </cell>
          <cell r="O108" t="str">
            <v>내경2</v>
          </cell>
          <cell r="P108" t="str">
            <v>⌀90.0±0.1</v>
          </cell>
          <cell r="Q108">
            <v>7567057</v>
          </cell>
        </row>
        <row r="109">
          <cell r="C109" t="str">
            <v>SI1622</v>
          </cell>
          <cell r="D109" t="str">
            <v>M251192_01</v>
          </cell>
          <cell r="E109" t="str">
            <v>A6867_SPATULA</v>
          </cell>
          <cell r="F109" t="str">
            <v>SI1622_250725</v>
          </cell>
          <cell r="G109" t="e">
            <v>#VALUE!</v>
          </cell>
          <cell r="H109" t="e">
            <v>#VALUE!</v>
          </cell>
          <cell r="I109" t="str">
            <v>외경</v>
          </cell>
          <cell r="J109" t="str">
            <v>⌀62.7±0.1</v>
          </cell>
          <cell r="K109" t="e">
            <v>#VALUE!</v>
          </cell>
          <cell r="L109" t="str">
            <v>외고</v>
          </cell>
          <cell r="M109" t="str">
            <v>⌀15.4±0.1</v>
          </cell>
          <cell r="Q109">
            <v>7567072</v>
          </cell>
        </row>
        <row r="110">
          <cell r="C110" t="str">
            <v>SI1622</v>
          </cell>
          <cell r="D110" t="str">
            <v>M251192_01</v>
          </cell>
          <cell r="E110" t="str">
            <v>A6867_SPATULA</v>
          </cell>
          <cell r="F110" t="str">
            <v>SI1622_250704</v>
          </cell>
          <cell r="G110" t="e">
            <v>#VALUE!</v>
          </cell>
          <cell r="H110" t="e">
            <v>#VALUE!</v>
          </cell>
          <cell r="I110" t="str">
            <v>외경</v>
          </cell>
          <cell r="J110" t="str">
            <v>⌀62.2±0.1</v>
          </cell>
          <cell r="K110" t="e">
            <v>#VALUE!</v>
          </cell>
          <cell r="L110" t="str">
            <v>외고</v>
          </cell>
          <cell r="M110" t="str">
            <v>⌀20.9±0.1</v>
          </cell>
          <cell r="Q110">
            <v>7567072</v>
          </cell>
        </row>
        <row r="111">
          <cell r="C111" t="str">
            <v>SI1644</v>
          </cell>
          <cell r="D111" t="str">
            <v>M251218_01</v>
          </cell>
          <cell r="E111" t="str">
            <v>A6871_CAP DECO</v>
          </cell>
          <cell r="F111" t="str">
            <v>SI1644_250704</v>
          </cell>
          <cell r="G111" t="e">
            <v>#VALUE!</v>
          </cell>
          <cell r="H111" t="e">
            <v>#VALUE!</v>
          </cell>
          <cell r="I111" t="str">
            <v>외경</v>
          </cell>
          <cell r="J111" t="str">
            <v>⌀84.8±0.1</v>
          </cell>
          <cell r="K111" t="e">
            <v>#VALUE!</v>
          </cell>
          <cell r="L111" t="str">
            <v>언더컷</v>
          </cell>
          <cell r="M111" t="str">
            <v>⌀79.7±0.1</v>
          </cell>
          <cell r="N111" t="e">
            <v>#VALUE!</v>
          </cell>
          <cell r="O111" t="str">
            <v>입구경</v>
          </cell>
          <cell r="P111" t="str">
            <v>⌀77.0±0.1</v>
          </cell>
          <cell r="Q111">
            <v>7569661</v>
          </cell>
        </row>
        <row r="112">
          <cell r="C112" t="str">
            <v>SI1623</v>
          </cell>
          <cell r="D112" t="str">
            <v>M251217_01</v>
          </cell>
          <cell r="E112" t="str">
            <v>A6871_CAP</v>
          </cell>
          <cell r="F112" t="str">
            <v>SI1623_250704</v>
          </cell>
          <cell r="G112" t="e">
            <v>#VALUE!</v>
          </cell>
          <cell r="H112" t="e">
            <v>#VALUE!</v>
          </cell>
          <cell r="I112" t="str">
            <v>외경</v>
          </cell>
          <cell r="J112" t="str">
            <v>⌀77.3±0.1</v>
          </cell>
          <cell r="K112" t="e">
            <v>#VALUE!</v>
          </cell>
          <cell r="L112" t="str">
            <v>내경</v>
          </cell>
          <cell r="M112" t="str">
            <v>⌀73.6±0.1</v>
          </cell>
          <cell r="N112" t="e">
            <v>#VALUE!</v>
          </cell>
          <cell r="O112" t="str">
            <v>A</v>
          </cell>
          <cell r="P112" t="str">
            <v>⌀76.3±0.1</v>
          </cell>
          <cell r="Q112">
            <v>7569661</v>
          </cell>
        </row>
        <row r="113">
          <cell r="C113" t="str">
            <v>SI1625</v>
          </cell>
          <cell r="D113" t="str">
            <v>M251175_01</v>
          </cell>
          <cell r="E113" t="str">
            <v>A6868_OUTER CAP</v>
          </cell>
          <cell r="F113" t="str">
            <v>SI1625_250708</v>
          </cell>
          <cell r="G113" t="e">
            <v>#VALUE!</v>
          </cell>
          <cell r="H113" t="e">
            <v>#VALUE!</v>
          </cell>
          <cell r="I113" t="str">
            <v>내경</v>
          </cell>
          <cell r="J113" t="str">
            <v>⌀50.3±0.1</v>
          </cell>
          <cell r="K113" t="e">
            <v>#VALUE!</v>
          </cell>
          <cell r="L113" t="str">
            <v>외경</v>
          </cell>
          <cell r="M113" t="str">
            <v>⌀58.2±0.1</v>
          </cell>
          <cell r="N113" t="e">
            <v>#VALUE!</v>
          </cell>
          <cell r="O113" t="str">
            <v>언더컷</v>
          </cell>
          <cell r="P113" t="str">
            <v>⌀50.3±0.1</v>
          </cell>
          <cell r="Q113">
            <v>7569568</v>
          </cell>
        </row>
        <row r="114">
          <cell r="C114" t="str">
            <v>SI1626</v>
          </cell>
          <cell r="D114" t="str">
            <v>M251174_01</v>
          </cell>
          <cell r="E114" t="str">
            <v>A6868_INNER CAP</v>
          </cell>
          <cell r="F114" t="str">
            <v>SI1626_250708</v>
          </cell>
          <cell r="G114" t="e">
            <v>#VALUE!</v>
          </cell>
          <cell r="H114" t="e">
            <v>#VALUE!</v>
          </cell>
          <cell r="I114" t="str">
            <v>내경</v>
          </cell>
          <cell r="J114" t="str">
            <v>⌀47.1±0.1</v>
          </cell>
          <cell r="K114" t="e">
            <v>#VALUE!</v>
          </cell>
          <cell r="L114" t="str">
            <v>외경</v>
          </cell>
          <cell r="M114" t="str">
            <v>⌀51.7±0.1</v>
          </cell>
          <cell r="N114" t="e">
            <v>#VALUE!</v>
          </cell>
          <cell r="O114" t="str">
            <v>키잡이</v>
          </cell>
          <cell r="P114" t="str">
            <v>⌀51.5±0.1</v>
          </cell>
          <cell r="Q114">
            <v>7569568</v>
          </cell>
        </row>
        <row r="115">
          <cell r="C115"/>
          <cell r="D115" t="str">
            <v>x</v>
          </cell>
          <cell r="Q115">
            <v>7569568</v>
          </cell>
        </row>
        <row r="116">
          <cell r="C116" t="str">
            <v>SI1627</v>
          </cell>
          <cell r="D116" t="str">
            <v>M251176_01</v>
          </cell>
          <cell r="E116" t="str">
            <v>A6868_JAR SUPPORT</v>
          </cell>
          <cell r="F116" t="str">
            <v>SI1627_250708</v>
          </cell>
          <cell r="G116" t="e">
            <v>#VALUE!</v>
          </cell>
          <cell r="H116" t="e">
            <v>#VALUE!</v>
          </cell>
          <cell r="I116" t="str">
            <v>내경</v>
          </cell>
          <cell r="J116" t="str">
            <v>⌀44.1±0.1</v>
          </cell>
          <cell r="K116" t="e">
            <v>#VALUE!</v>
          </cell>
          <cell r="L116" t="str">
            <v>언더컷</v>
          </cell>
          <cell r="M116" t="str">
            <v>⌀44.1±0.1</v>
          </cell>
          <cell r="N116" t="e">
            <v>#VALUE!</v>
          </cell>
          <cell r="O116" t="str">
            <v>외경</v>
          </cell>
          <cell r="P116" t="str">
            <v>⌀59.8±0.1</v>
          </cell>
          <cell r="Q116">
            <v>7569569</v>
          </cell>
        </row>
        <row r="117">
          <cell r="C117"/>
          <cell r="D117"/>
          <cell r="Q117">
            <v>7569569</v>
          </cell>
        </row>
        <row r="118">
          <cell r="C118" t="str">
            <v>SI1628</v>
          </cell>
          <cell r="D118" t="str">
            <v>M251177_01</v>
          </cell>
          <cell r="E118" t="str">
            <v>A6868_JAR</v>
          </cell>
          <cell r="F118" t="str">
            <v>SI1628_250708</v>
          </cell>
          <cell r="G118" t="e">
            <v>#VALUE!</v>
          </cell>
          <cell r="H118" t="e">
            <v>#VALUE!</v>
          </cell>
          <cell r="I118" t="str">
            <v>나사경</v>
          </cell>
          <cell r="J118" t="str">
            <v>⌀46.5±0.1</v>
          </cell>
          <cell r="K118" t="e">
            <v>#VALUE!</v>
          </cell>
          <cell r="L118" t="str">
            <v>외경</v>
          </cell>
          <cell r="M118" t="str">
            <v>⌀46.7±0.1</v>
          </cell>
          <cell r="N118" t="e">
            <v>#VALUE!</v>
          </cell>
          <cell r="O118" t="str">
            <v>언더컷</v>
          </cell>
          <cell r="P118" t="str">
            <v>⌀44.9±0.1</v>
          </cell>
          <cell r="Q118">
            <v>7569569</v>
          </cell>
        </row>
        <row r="119">
          <cell r="C119" t="str">
            <v>SI1629</v>
          </cell>
          <cell r="D119" t="str">
            <v>M251178_01</v>
          </cell>
          <cell r="E119" t="str">
            <v>A6868_DISC</v>
          </cell>
          <cell r="F119" t="str">
            <v>SI1629_250708</v>
          </cell>
          <cell r="G119" t="e">
            <v>#VALUE!</v>
          </cell>
          <cell r="H119" t="e">
            <v>#VALUE!</v>
          </cell>
          <cell r="I119" t="str">
            <v>내경</v>
          </cell>
          <cell r="J119" t="str">
            <v>⌀34.9±0.1</v>
          </cell>
          <cell r="K119" t="e">
            <v>#VALUE!</v>
          </cell>
          <cell r="L119" t="str">
            <v>외경</v>
          </cell>
          <cell r="M119" t="str">
            <v>⌀37.3±0.1</v>
          </cell>
          <cell r="N119" t="e">
            <v>#VALUE!</v>
          </cell>
          <cell r="O119" t="str">
            <v>외고</v>
          </cell>
          <cell r="P119" t="str">
            <v>1.0±0.1</v>
          </cell>
          <cell r="Q119">
            <v>7569570</v>
          </cell>
        </row>
        <row r="120">
          <cell r="C120"/>
          <cell r="D120"/>
          <cell r="Q120">
            <v>7569571</v>
          </cell>
        </row>
        <row r="121">
          <cell r="C121" t="str">
            <v>SI1630</v>
          </cell>
          <cell r="D121" t="str">
            <v>M251180_01</v>
          </cell>
          <cell r="E121" t="str">
            <v>A6869_OUTER CAP</v>
          </cell>
          <cell r="F121" t="str">
            <v>SI1630_250708</v>
          </cell>
          <cell r="G121" t="e">
            <v>#VALUE!</v>
          </cell>
          <cell r="H121" t="e">
            <v>#VALUE!</v>
          </cell>
          <cell r="I121" t="str">
            <v>내경</v>
          </cell>
          <cell r="J121" t="str">
            <v>⌀39.9±0.1</v>
          </cell>
          <cell r="K121" t="e">
            <v>#VALUE!</v>
          </cell>
          <cell r="L121" t="str">
            <v>키잡이</v>
          </cell>
          <cell r="M121" t="str">
            <v>⌀41.1±0.1</v>
          </cell>
          <cell r="N121" t="e">
            <v>#VALUE!</v>
          </cell>
          <cell r="O121" t="str">
            <v>외경</v>
          </cell>
          <cell r="P121" t="str">
            <v>⌀46.8±0.1</v>
          </cell>
          <cell r="Q121">
            <v>7569597</v>
          </cell>
        </row>
        <row r="122">
          <cell r="C122" t="str">
            <v>SI1631</v>
          </cell>
          <cell r="D122" t="str">
            <v>M251179_01</v>
          </cell>
          <cell r="E122" t="str">
            <v>A6869_INNER CAP</v>
          </cell>
          <cell r="F122" t="str">
            <v>SI1631_250708</v>
          </cell>
          <cell r="G122" t="e">
            <v>#VALUE!</v>
          </cell>
          <cell r="H122" t="e">
            <v>#VALUE!</v>
          </cell>
          <cell r="I122" t="str">
            <v>나사경</v>
          </cell>
          <cell r="J122" t="str">
            <v>⌀34.6±0.1</v>
          </cell>
          <cell r="K122" t="e">
            <v>#VALUE!</v>
          </cell>
          <cell r="L122" t="str">
            <v>외경</v>
          </cell>
          <cell r="M122" t="str">
            <v>⌀41.3±0.1</v>
          </cell>
          <cell r="N122" t="e">
            <v>#VALUE!</v>
          </cell>
          <cell r="O122" t="str">
            <v>키잡이</v>
          </cell>
          <cell r="P122" t="str">
            <v>⌀40.9±0.1</v>
          </cell>
          <cell r="Q122">
            <v>7569597</v>
          </cell>
        </row>
        <row r="123">
          <cell r="C123"/>
          <cell r="D123"/>
          <cell r="Q123">
            <v>7569597</v>
          </cell>
        </row>
        <row r="124">
          <cell r="C124" t="str">
            <v>SI1632</v>
          </cell>
          <cell r="D124" t="str">
            <v>M251181_01</v>
          </cell>
          <cell r="E124" t="str">
            <v>A6869_JAR</v>
          </cell>
          <cell r="F124" t="str">
            <v>SI1632_250708</v>
          </cell>
          <cell r="G124" t="e">
            <v>#VALUE!</v>
          </cell>
          <cell r="H124" t="e">
            <v>#VALUE!</v>
          </cell>
          <cell r="I124" t="str">
            <v>입구경</v>
          </cell>
          <cell r="J124" t="str">
            <v>⌀27.6±0.1</v>
          </cell>
          <cell r="K124" t="e">
            <v>#VALUE!</v>
          </cell>
          <cell r="L124" t="str">
            <v>나사경</v>
          </cell>
          <cell r="M124" t="str">
            <v>⌀36.1±0.1</v>
          </cell>
          <cell r="N124" t="e">
            <v>#VALUE!</v>
          </cell>
          <cell r="O124" t="str">
            <v>외경</v>
          </cell>
          <cell r="P124" t="str">
            <v>⌀36.1±0.1</v>
          </cell>
          <cell r="Q124">
            <v>7569598</v>
          </cell>
        </row>
        <row r="125">
          <cell r="C125" t="str">
            <v>SI1633</v>
          </cell>
          <cell r="D125" t="str">
            <v>M251182_01</v>
          </cell>
          <cell r="E125" t="str">
            <v>A6869_JAR SUPPORT</v>
          </cell>
          <cell r="F125" t="str">
            <v>SI1633_250708</v>
          </cell>
          <cell r="G125" t="e">
            <v>#VALUE!</v>
          </cell>
          <cell r="H125" t="e">
            <v>#VALUE!</v>
          </cell>
          <cell r="I125" t="str">
            <v>언더컷</v>
          </cell>
          <cell r="J125" t="str">
            <v>⌀33.7±0.1</v>
          </cell>
          <cell r="K125" t="e">
            <v>#VALUE!</v>
          </cell>
          <cell r="L125" t="str">
            <v>키잡이</v>
          </cell>
          <cell r="M125" t="str">
            <v>⌀35.3±0.1</v>
          </cell>
          <cell r="N125" t="e">
            <v>#VALUE!</v>
          </cell>
          <cell r="O125" t="str">
            <v>외경</v>
          </cell>
          <cell r="P125" t="str">
            <v>⌀48.1±0.1</v>
          </cell>
          <cell r="Q125">
            <v>7569598</v>
          </cell>
        </row>
        <row r="126">
          <cell r="C126"/>
          <cell r="D126"/>
          <cell r="Q126">
            <v>7569598</v>
          </cell>
        </row>
        <row r="127">
          <cell r="C127" t="str">
            <v>SI1634</v>
          </cell>
          <cell r="D127" t="str">
            <v>M251183_01</v>
          </cell>
          <cell r="E127" t="str">
            <v>A6869_DISC</v>
          </cell>
          <cell r="F127" t="str">
            <v>SI1634_250708</v>
          </cell>
          <cell r="G127" t="e">
            <v>#VALUE!</v>
          </cell>
          <cell r="H127" t="e">
            <v>#VALUE!</v>
          </cell>
          <cell r="I127" t="str">
            <v>내경</v>
          </cell>
          <cell r="J127" t="str">
            <v>⌀24.5±0.1</v>
          </cell>
          <cell r="K127" t="e">
            <v>#VALUE!</v>
          </cell>
          <cell r="L127" t="str">
            <v>외경</v>
          </cell>
          <cell r="M127" t="str">
            <v>⌀26.9±0.1</v>
          </cell>
          <cell r="N127" t="e">
            <v>#VALUE!</v>
          </cell>
          <cell r="O127" t="str">
            <v>외고</v>
          </cell>
          <cell r="P127" t="str">
            <v>1.0±0.1</v>
          </cell>
          <cell r="Q127">
            <v>7569599</v>
          </cell>
        </row>
        <row r="128">
          <cell r="C128"/>
          <cell r="D128"/>
          <cell r="Q128">
            <v>7569600</v>
          </cell>
        </row>
        <row r="129">
          <cell r="D129" t="str">
            <v>M251264_01</v>
          </cell>
          <cell r="E129" t="str">
            <v>A6888_OUTER JAR</v>
          </cell>
          <cell r="Q129">
            <v>7572322</v>
          </cell>
        </row>
        <row r="130">
          <cell r="C130" t="str">
            <v>SI1637</v>
          </cell>
          <cell r="D130" t="str">
            <v>M251264_01</v>
          </cell>
          <cell r="E130" t="str">
            <v>A6888_OUTER JAR</v>
          </cell>
          <cell r="Q130">
            <v>7572322</v>
          </cell>
        </row>
        <row r="131">
          <cell r="C131" t="str">
            <v>SI1638</v>
          </cell>
          <cell r="D131" t="str">
            <v>M251263_01</v>
          </cell>
          <cell r="E131" t="str">
            <v>A6888_INNER JAR</v>
          </cell>
          <cell r="Q131">
            <v>7572322</v>
          </cell>
        </row>
        <row r="132">
          <cell r="D132" t="str">
            <v>M201037_01</v>
          </cell>
          <cell r="E132" t="str">
            <v>A6200_OUTER CAP</v>
          </cell>
          <cell r="Q132">
            <v>7572349</v>
          </cell>
        </row>
        <row r="133">
          <cell r="C133" t="str">
            <v>SI1639</v>
          </cell>
          <cell r="D133" t="str">
            <v>M201037_01</v>
          </cell>
          <cell r="E133" t="str">
            <v>A6200_OUTER CAP</v>
          </cell>
          <cell r="Q133">
            <v>7572349</v>
          </cell>
        </row>
        <row r="134">
          <cell r="C134" t="str">
            <v>SI1640</v>
          </cell>
          <cell r="D134" t="str">
            <v>M251265_01</v>
          </cell>
          <cell r="E134" t="str">
            <v>A6888_INNER CAP</v>
          </cell>
          <cell r="Q134">
            <v>7572349</v>
          </cell>
        </row>
        <row r="135">
          <cell r="C135"/>
          <cell r="D135" t="str">
            <v>x</v>
          </cell>
          <cell r="Q135">
            <v>7572349</v>
          </cell>
        </row>
        <row r="136">
          <cell r="C136" t="str">
            <v>SI1641</v>
          </cell>
          <cell r="D136" t="str">
            <v>M251266_01</v>
          </cell>
          <cell r="E136" t="str">
            <v>A6887_CAP</v>
          </cell>
          <cell r="Q136">
            <v>7572327</v>
          </cell>
        </row>
        <row r="137">
          <cell r="C137"/>
          <cell r="D137"/>
          <cell r="Q137">
            <v>7572327</v>
          </cell>
        </row>
        <row r="138">
          <cell r="C138" t="str">
            <v>SI1643</v>
          </cell>
          <cell r="D138" t="str">
            <v>M251268_01</v>
          </cell>
          <cell r="E138" t="str">
            <v>A6887_OUTER JAR</v>
          </cell>
          <cell r="Q138">
            <v>7572328</v>
          </cell>
        </row>
        <row r="139">
          <cell r="C139" t="str">
            <v>SI1642</v>
          </cell>
          <cell r="D139" t="str">
            <v>M251267_01</v>
          </cell>
          <cell r="E139" t="str">
            <v>A6887_INNER JAR</v>
          </cell>
          <cell r="Q139">
            <v>7572328</v>
          </cell>
        </row>
        <row r="140">
          <cell r="C140"/>
          <cell r="D140"/>
          <cell r="Q140">
            <v>7572328</v>
          </cell>
        </row>
      </sheetData>
      <sheetData sheetId="2"/>
      <sheetData sheetId="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개발제품"/>
    </sheetNames>
    <sheetDataSet>
      <sheetData sheetId="0">
        <row r="1">
          <cell r="B1" t="str">
            <v>제품도면번호</v>
          </cell>
          <cell r="C1" t="str">
            <v>개발팀</v>
          </cell>
          <cell r="D1" t="str">
            <v>금형제작처</v>
          </cell>
          <cell r="E1" t="str">
            <v>감리처</v>
          </cell>
        </row>
        <row r="2">
          <cell r="B2" t="str">
            <v>A6797</v>
          </cell>
          <cell r="C2" t="str">
            <v>전미영</v>
          </cell>
          <cell r="D2" t="str">
            <v>주식회사 대산몰드</v>
          </cell>
          <cell r="E2" t="str">
            <v>포커스/강정환</v>
          </cell>
        </row>
        <row r="3">
          <cell r="B3" t="str">
            <v>A6797</v>
          </cell>
          <cell r="C3" t="str">
            <v>전미영</v>
          </cell>
          <cell r="D3" t="str">
            <v>주식회사 대산몰드</v>
          </cell>
          <cell r="E3" t="str">
            <v>포커스/강정환</v>
          </cell>
        </row>
        <row r="4">
          <cell r="B4" t="str">
            <v>A6797</v>
          </cell>
          <cell r="C4" t="str">
            <v>전미영</v>
          </cell>
          <cell r="D4" t="str">
            <v>주식회사 대산몰드</v>
          </cell>
          <cell r="E4" t="str">
            <v>포커스/강정환</v>
          </cell>
        </row>
        <row r="5">
          <cell r="B5" t="str">
            <v>A6797</v>
          </cell>
          <cell r="C5" t="str">
            <v>전미영</v>
          </cell>
          <cell r="D5" t="str">
            <v>주식회사 대산몰드</v>
          </cell>
          <cell r="E5" t="str">
            <v>포커스/강정환</v>
          </cell>
        </row>
        <row r="6">
          <cell r="B6" t="str">
            <v>A6797</v>
          </cell>
          <cell r="C6" t="str">
            <v>전미영</v>
          </cell>
          <cell r="D6" t="str">
            <v>주식회사 대산몰드</v>
          </cell>
          <cell r="E6" t="str">
            <v>포커스/강정환</v>
          </cell>
        </row>
        <row r="7">
          <cell r="B7" t="str">
            <v>A6797</v>
          </cell>
          <cell r="C7" t="str">
            <v>전미영</v>
          </cell>
          <cell r="D7" t="str">
            <v>주식회사 대산몰드</v>
          </cell>
          <cell r="E7" t="str">
            <v>포커스/강정환</v>
          </cell>
        </row>
        <row r="8">
          <cell r="B8" t="str">
            <v>A6787</v>
          </cell>
          <cell r="C8" t="str">
            <v>전미영</v>
          </cell>
          <cell r="D8" t="str">
            <v>주식회사 대산몰드</v>
          </cell>
          <cell r="E8" t="str">
            <v>포커스/강정환</v>
          </cell>
        </row>
        <row r="9">
          <cell r="B9" t="str">
            <v>A6787</v>
          </cell>
          <cell r="C9" t="str">
            <v>전미영</v>
          </cell>
          <cell r="D9" t="str">
            <v>주식회사 대산몰드</v>
          </cell>
          <cell r="E9" t="str">
            <v>포커스/강정환</v>
          </cell>
        </row>
        <row r="10">
          <cell r="B10" t="str">
            <v>A6787</v>
          </cell>
          <cell r="C10" t="str">
            <v>전미영</v>
          </cell>
          <cell r="D10" t="str">
            <v>주식회사 대산몰드</v>
          </cell>
          <cell r="E10" t="str">
            <v>포커스/강정환</v>
          </cell>
        </row>
        <row r="11">
          <cell r="B11" t="str">
            <v>A6801</v>
          </cell>
          <cell r="C11" t="str">
            <v>홍서희</v>
          </cell>
          <cell r="D11" t="str">
            <v>주식회사 대산몰드</v>
          </cell>
          <cell r="E11" t="str">
            <v>포커스/강정환</v>
          </cell>
        </row>
        <row r="12">
          <cell r="B12" t="str">
            <v>A6801</v>
          </cell>
          <cell r="C12" t="str">
            <v>홍서희</v>
          </cell>
          <cell r="D12" t="str">
            <v>주식회사 대산몰드</v>
          </cell>
          <cell r="E12" t="str">
            <v>포커스/강정환</v>
          </cell>
        </row>
        <row r="13">
          <cell r="B13" t="str">
            <v>A6801</v>
          </cell>
          <cell r="C13" t="str">
            <v>홍서희</v>
          </cell>
          <cell r="D13" t="str">
            <v>주식회사 대산몰드</v>
          </cell>
          <cell r="E13" t="str">
            <v>포커스/강정환</v>
          </cell>
        </row>
        <row r="14">
          <cell r="B14" t="str">
            <v>A6801</v>
          </cell>
          <cell r="C14" t="str">
            <v>홍서희</v>
          </cell>
          <cell r="D14" t="str">
            <v>주식회사 대산몰드</v>
          </cell>
          <cell r="E14" t="str">
            <v>포커스/강정환</v>
          </cell>
        </row>
        <row r="15">
          <cell r="B15" t="str">
            <v>A6801</v>
          </cell>
          <cell r="C15" t="str">
            <v>홍서희</v>
          </cell>
          <cell r="D15" t="str">
            <v>주식회사 대산몰드</v>
          </cell>
          <cell r="E15" t="str">
            <v>포커스/강정환</v>
          </cell>
        </row>
        <row r="16">
          <cell r="B16" t="str">
            <v>A6801</v>
          </cell>
          <cell r="C16" t="str">
            <v>홍서희</v>
          </cell>
          <cell r="D16" t="str">
            <v>주식회사 대산몰드</v>
          </cell>
          <cell r="E16" t="str">
            <v>포커스/강정환</v>
          </cell>
        </row>
        <row r="17">
          <cell r="B17" t="str">
            <v>A6801</v>
          </cell>
          <cell r="C17" t="str">
            <v>홍서희</v>
          </cell>
          <cell r="D17" t="str">
            <v>주식회사 대산몰드</v>
          </cell>
          <cell r="E17" t="str">
            <v>포커스/강정환</v>
          </cell>
        </row>
        <row r="18">
          <cell r="B18" t="str">
            <v>A6801</v>
          </cell>
          <cell r="C18" t="str">
            <v>홍서희</v>
          </cell>
          <cell r="D18" t="str">
            <v>주식회사 대산몰드</v>
          </cell>
          <cell r="E18" t="str">
            <v>포커스/강정환</v>
          </cell>
        </row>
        <row r="19">
          <cell r="B19" t="str">
            <v>A6801</v>
          </cell>
          <cell r="C19" t="str">
            <v>홍서희</v>
          </cell>
          <cell r="D19" t="str">
            <v>주식회사 대산몰드</v>
          </cell>
          <cell r="E19" t="str">
            <v>포커스/강정환</v>
          </cell>
        </row>
        <row r="20">
          <cell r="B20" t="str">
            <v>A6801</v>
          </cell>
          <cell r="C20" t="str">
            <v>홍서희</v>
          </cell>
          <cell r="D20" t="str">
            <v>주식회사 대산몰드</v>
          </cell>
          <cell r="E20" t="str">
            <v>포커스/강정환</v>
          </cell>
        </row>
        <row r="21">
          <cell r="B21" t="str">
            <v>A6798</v>
          </cell>
          <cell r="C21" t="str">
            <v>전미영</v>
          </cell>
          <cell r="D21" t="str">
            <v>주식회사 대산몰드</v>
          </cell>
          <cell r="E21" t="str">
            <v>포커스/강정환</v>
          </cell>
        </row>
        <row r="22">
          <cell r="B22" t="str">
            <v>A6798</v>
          </cell>
          <cell r="C22" t="str">
            <v>전미영</v>
          </cell>
          <cell r="D22" t="str">
            <v>주식회사 대산몰드</v>
          </cell>
          <cell r="E22" t="str">
            <v>포커스/강정환</v>
          </cell>
        </row>
        <row r="23">
          <cell r="B23" t="str">
            <v>A5790</v>
          </cell>
          <cell r="C23" t="str">
            <v>송혜강</v>
          </cell>
          <cell r="D23" t="str">
            <v>(주)대동몰드(금형)</v>
          </cell>
          <cell r="E23"/>
        </row>
        <row r="24">
          <cell r="B24" t="str">
            <v>A6749</v>
          </cell>
          <cell r="C24" t="str">
            <v>김성룡/홍서희</v>
          </cell>
          <cell r="D24" t="str">
            <v>주식회사 대산몰드</v>
          </cell>
          <cell r="E24" t="str">
            <v>포커스/강정환</v>
          </cell>
        </row>
        <row r="25">
          <cell r="B25" t="str">
            <v>A6749</v>
          </cell>
          <cell r="C25" t="str">
            <v>김성룡/홍서희</v>
          </cell>
          <cell r="D25" t="str">
            <v>주식회사 대산몰드</v>
          </cell>
          <cell r="E25" t="str">
            <v>포커스/강정환</v>
          </cell>
        </row>
        <row r="26">
          <cell r="B26" t="str">
            <v>A6749</v>
          </cell>
          <cell r="C26" t="str">
            <v>김성룡/홍서희</v>
          </cell>
          <cell r="D26" t="str">
            <v>주식회사 대산몰드</v>
          </cell>
          <cell r="E26" t="str">
            <v>포커스/강정환</v>
          </cell>
        </row>
        <row r="27">
          <cell r="B27" t="str">
            <v>A6749</v>
          </cell>
          <cell r="C27" t="str">
            <v>김성룡/홍서희</v>
          </cell>
          <cell r="D27" t="str">
            <v>주식회사 대산몰드</v>
          </cell>
          <cell r="E27" t="str">
            <v>포커스/강정환</v>
          </cell>
        </row>
        <row r="28">
          <cell r="B28" t="str">
            <v>A6749</v>
          </cell>
          <cell r="C28" t="str">
            <v>김성룡/홍서희</v>
          </cell>
          <cell r="D28" t="str">
            <v>주식회사 대산몰드</v>
          </cell>
          <cell r="E28" t="str">
            <v>포커스/강정환</v>
          </cell>
        </row>
        <row r="29">
          <cell r="B29" t="str">
            <v>A6749</v>
          </cell>
          <cell r="C29" t="str">
            <v>김성룡/홍서희</v>
          </cell>
          <cell r="D29" t="str">
            <v>주식회사 대산몰드</v>
          </cell>
          <cell r="E29" t="str">
            <v>포커스/강정환</v>
          </cell>
        </row>
        <row r="30">
          <cell r="B30" t="str">
            <v>A6749</v>
          </cell>
          <cell r="C30" t="str">
            <v>김성룡/홍서희</v>
          </cell>
          <cell r="D30" t="str">
            <v>주식회사 대산몰드</v>
          </cell>
          <cell r="E30" t="str">
            <v>포커스/강정환</v>
          </cell>
        </row>
        <row r="31">
          <cell r="B31" t="str">
            <v>A6764</v>
          </cell>
          <cell r="C31" t="str">
            <v>오형택</v>
          </cell>
          <cell r="D31" t="str">
            <v>주식회사 대산몰드</v>
          </cell>
          <cell r="E31"/>
        </row>
        <row r="32">
          <cell r="B32" t="str">
            <v>A6795</v>
          </cell>
          <cell r="C32" t="str">
            <v>공경식</v>
          </cell>
          <cell r="D32" t="str">
            <v>주식회사 대산몰드</v>
          </cell>
          <cell r="E32"/>
        </row>
        <row r="33">
          <cell r="B33" t="str">
            <v>A6660</v>
          </cell>
          <cell r="C33"/>
          <cell r="D33"/>
          <cell r="E33"/>
        </row>
        <row r="34">
          <cell r="B34" t="str">
            <v>A6232</v>
          </cell>
          <cell r="C34"/>
          <cell r="D34"/>
          <cell r="E34"/>
        </row>
        <row r="35">
          <cell r="B35" t="str">
            <v>A3632</v>
          </cell>
          <cell r="C35" t="str">
            <v>김지훈</v>
          </cell>
          <cell r="D35" t="str">
            <v>보람정밀</v>
          </cell>
          <cell r="E35"/>
        </row>
        <row r="36">
          <cell r="B36" t="str">
            <v>A6794</v>
          </cell>
          <cell r="C36" t="str">
            <v>아이팩</v>
          </cell>
          <cell r="D36" t="str">
            <v>주식회사 대산몰드</v>
          </cell>
          <cell r="E36" t="str">
            <v>리드개발/남호근</v>
          </cell>
        </row>
        <row r="37">
          <cell r="B37" t="str">
            <v>A6794</v>
          </cell>
          <cell r="C37" t="str">
            <v>아이팩</v>
          </cell>
          <cell r="D37" t="str">
            <v>주식회사 대산몰드</v>
          </cell>
          <cell r="E37" t="str">
            <v>리드개발/남호근</v>
          </cell>
        </row>
        <row r="38">
          <cell r="B38" t="str">
            <v>A6794</v>
          </cell>
          <cell r="C38" t="str">
            <v>아이팩</v>
          </cell>
          <cell r="D38" t="str">
            <v>주식회사 대산몰드</v>
          </cell>
          <cell r="E38" t="str">
            <v>리드개발/남호근</v>
          </cell>
        </row>
        <row r="39">
          <cell r="B39" t="str">
            <v>A6794</v>
          </cell>
          <cell r="C39" t="str">
            <v>아이팩</v>
          </cell>
          <cell r="D39" t="str">
            <v>주식회사 대산몰드</v>
          </cell>
          <cell r="E39" t="str">
            <v>리드개발/남호근</v>
          </cell>
        </row>
        <row r="40">
          <cell r="B40" t="str">
            <v>A6794</v>
          </cell>
          <cell r="C40" t="str">
            <v>아이팩</v>
          </cell>
          <cell r="D40" t="str">
            <v>주식회사 대산몰드</v>
          </cell>
          <cell r="E40" t="str">
            <v>리드개발/남호근</v>
          </cell>
        </row>
        <row r="41">
          <cell r="B41" t="str">
            <v>A6794</v>
          </cell>
          <cell r="C41" t="str">
            <v>아이팩</v>
          </cell>
          <cell r="D41" t="str">
            <v>주식회사 대산몰드</v>
          </cell>
          <cell r="E41" t="str">
            <v>리드개발/남호근</v>
          </cell>
        </row>
        <row r="42">
          <cell r="B42" t="str">
            <v>A6794</v>
          </cell>
          <cell r="C42" t="str">
            <v>아이팩</v>
          </cell>
          <cell r="D42" t="str">
            <v>주식회사 대산몰드</v>
          </cell>
          <cell r="E42" t="str">
            <v>리드개발/남호근</v>
          </cell>
        </row>
        <row r="43">
          <cell r="B43" t="str">
            <v>A6802</v>
          </cell>
          <cell r="C43" t="str">
            <v>아이팩</v>
          </cell>
          <cell r="D43" t="str">
            <v>주식회사 대산몰드</v>
          </cell>
          <cell r="E43" t="str">
            <v>리드개발/남호근</v>
          </cell>
        </row>
        <row r="44">
          <cell r="B44" t="str">
            <v>A6802</v>
          </cell>
          <cell r="C44" t="str">
            <v>아이팩</v>
          </cell>
          <cell r="D44" t="str">
            <v>주식회사 대산몰드</v>
          </cell>
          <cell r="E44" t="str">
            <v>리드개발/남호근</v>
          </cell>
        </row>
        <row r="45">
          <cell r="B45" t="str">
            <v>A6802</v>
          </cell>
          <cell r="C45" t="str">
            <v>아이팩</v>
          </cell>
          <cell r="D45" t="str">
            <v>주식회사 대산몰드</v>
          </cell>
          <cell r="E45" t="str">
            <v>리드개발/남호근</v>
          </cell>
        </row>
        <row r="46">
          <cell r="B46" t="str">
            <v>JU24-038</v>
          </cell>
          <cell r="C46" t="str">
            <v>장업</v>
          </cell>
          <cell r="D46"/>
          <cell r="E46"/>
        </row>
        <row r="47">
          <cell r="B47" t="str">
            <v>A6396</v>
          </cell>
          <cell r="C47"/>
          <cell r="D47" t="str">
            <v>주식회사 대산몰드</v>
          </cell>
          <cell r="E47"/>
        </row>
        <row r="48">
          <cell r="B48"/>
          <cell r="C48" t="str">
            <v>강성함</v>
          </cell>
          <cell r="D48" t="str">
            <v>주식회사 대산몰드</v>
          </cell>
          <cell r="E48"/>
        </row>
        <row r="49">
          <cell r="B49"/>
          <cell r="C49" t="str">
            <v>강성함</v>
          </cell>
          <cell r="D49"/>
          <cell r="E49"/>
        </row>
        <row r="50">
          <cell r="B50"/>
          <cell r="C50" t="str">
            <v>강성함</v>
          </cell>
          <cell r="D50"/>
          <cell r="E50"/>
        </row>
        <row r="51">
          <cell r="B51"/>
          <cell r="C51" t="str">
            <v>오주원</v>
          </cell>
          <cell r="D51"/>
          <cell r="E51"/>
        </row>
        <row r="52">
          <cell r="B52"/>
          <cell r="C52" t="str">
            <v>이성현</v>
          </cell>
          <cell r="D52"/>
          <cell r="E52"/>
        </row>
        <row r="53">
          <cell r="B53" t="str">
            <v>A6205</v>
          </cell>
          <cell r="C53" t="str">
            <v>윤세희</v>
          </cell>
          <cell r="D53" t="str">
            <v>구미에이텍</v>
          </cell>
          <cell r="E53" t="str">
            <v>없음</v>
          </cell>
        </row>
        <row r="54">
          <cell r="B54" t="str">
            <v>A6229</v>
          </cell>
          <cell r="C54" t="str">
            <v>윤세희</v>
          </cell>
          <cell r="D54" t="str">
            <v>구미에이텍</v>
          </cell>
          <cell r="E54" t="str">
            <v>없음</v>
          </cell>
        </row>
        <row r="55">
          <cell r="B55" t="str">
            <v>A6849</v>
          </cell>
          <cell r="C55" t="str">
            <v>이성현</v>
          </cell>
          <cell r="D55" t="str">
            <v>주식회사 대산몰드</v>
          </cell>
          <cell r="E55" t="str">
            <v>리드개발/남호근</v>
          </cell>
        </row>
        <row r="56">
          <cell r="B56" t="str">
            <v>A6849</v>
          </cell>
          <cell r="C56" t="str">
            <v>이성현</v>
          </cell>
          <cell r="D56" t="str">
            <v>주식회사 대산몰드</v>
          </cell>
          <cell r="E56" t="str">
            <v>리드개발/남호근</v>
          </cell>
        </row>
        <row r="57">
          <cell r="B57" t="str">
            <v>A6849</v>
          </cell>
          <cell r="C57" t="str">
            <v>이성현</v>
          </cell>
          <cell r="D57" t="str">
            <v>주식회사 대산몰드</v>
          </cell>
          <cell r="E57" t="str">
            <v>리드개발/남호근</v>
          </cell>
        </row>
        <row r="58">
          <cell r="B58" t="str">
            <v>A6849</v>
          </cell>
          <cell r="C58" t="str">
            <v>이성현</v>
          </cell>
          <cell r="D58" t="str">
            <v>주식회사 대산몰드</v>
          </cell>
          <cell r="E58" t="str">
            <v>리드개발/남호근</v>
          </cell>
        </row>
        <row r="59">
          <cell r="B59" t="str">
            <v>A6849</v>
          </cell>
          <cell r="C59" t="str">
            <v>이성현</v>
          </cell>
          <cell r="D59" t="str">
            <v>주식회사 대산몰드</v>
          </cell>
          <cell r="E59" t="str">
            <v>리드개발/남호근</v>
          </cell>
        </row>
        <row r="60">
          <cell r="B60" t="str">
            <v>A5226</v>
          </cell>
          <cell r="C60" t="str">
            <v>아이팩</v>
          </cell>
          <cell r="D60" t="str">
            <v>주식회사 대산몰드</v>
          </cell>
        </row>
        <row r="61">
          <cell r="B61" t="str">
            <v>A6855</v>
          </cell>
          <cell r="C61" t="str">
            <v>강성함</v>
          </cell>
          <cell r="D61" t="str">
            <v>주식회사 대산몰드</v>
          </cell>
          <cell r="E61" t="str">
            <v>리드개발/남호근</v>
          </cell>
        </row>
        <row r="62">
          <cell r="B62" t="str">
            <v>A6869</v>
          </cell>
          <cell r="C62" t="str">
            <v>이윤희</v>
          </cell>
          <cell r="D62" t="str">
            <v>주식회사 대산몰드</v>
          </cell>
          <cell r="E62" t="str">
            <v>리드개발/남호근</v>
          </cell>
        </row>
        <row r="63">
          <cell r="B63" t="str">
            <v>A6868</v>
          </cell>
          <cell r="C63" t="str">
            <v>이윤희</v>
          </cell>
          <cell r="D63" t="str">
            <v>주식회사 대산몰드</v>
          </cell>
          <cell r="E63" t="str">
            <v>리드개발/남호근</v>
          </cell>
        </row>
        <row r="64">
          <cell r="B64" t="str">
            <v>A6867, A6871</v>
          </cell>
          <cell r="C64" t="str">
            <v>이윤희</v>
          </cell>
          <cell r="D64" t="str">
            <v>보람정밀</v>
          </cell>
          <cell r="E64" t="str">
            <v>리드개발/남호근</v>
          </cell>
        </row>
        <row r="65">
          <cell r="B65" t="str">
            <v>A6866</v>
          </cell>
          <cell r="C65" t="str">
            <v>손보배</v>
          </cell>
          <cell r="D65" t="str">
            <v>구미에이텍</v>
          </cell>
          <cell r="E65" t="str">
            <v>포커스/강정환</v>
          </cell>
        </row>
      </sheetData>
    </sheetDataSet>
  </externalBook>
</externalLink>
</file>

<file path=xl/persons/person.xml><?xml version="1.0" encoding="utf-8"?>
<personList xmlns="http://schemas.microsoft.com/office/spreadsheetml/2018/threadedcomments" xmlns:x="http://schemas.openxmlformats.org/spreadsheetml/2006/main">
  <person displayName="김 유미" id="{AEF2935B-AB87-435D-AF1A-B372CF96703B}" userId="S::kym@isunil.onmicrosoft.com::43e5574a-b360-4dac-b008-cecfbd74ace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6130473-0E26-42FF-9882-34785D4C8E33}" autoFormatId="16" applyNumberFormats="0" applyBorderFormats="0" applyFontFormats="0" applyPatternFormats="0" applyAlignmentFormats="0" applyWidthHeightFormats="0">
  <queryTableRefresh nextId="20">
    <queryTableFields count="19">
      <queryTableField id="1" name="제품명" tableColumnId="1"/>
      <queryTableField id="2" name="제품도면번호" tableColumnId="2"/>
      <queryTableField id="3" name="품목도면번호" tableColumnId="3"/>
      <queryTableField id="4" name="품목코드" tableColumnId="4"/>
      <queryTableField id="5" name="금형번호" tableColumnId="5"/>
      <queryTableField id="6" name="개취수" tableColumnId="6"/>
      <queryTableField id="7" name="사양" tableColumnId="7"/>
      <queryTableField id="8" name="생산처" tableColumnId="8"/>
      <queryTableField id="9" name="도면_무게" tableColumnId="9"/>
      <queryTableField id="10" name="완제품코드" tableColumnId="10"/>
      <queryTableField id="11" name="구버전" tableColumnId="11"/>
      <queryTableField id="12" name="색상" tableColumnId="12"/>
      <queryTableField id="13" name="금형명" tableColumnId="13"/>
      <queryTableField id="14" name="포장재 개발팀" tableColumnId="14"/>
      <queryTableField id="15" name="감리처" tableColumnId="15"/>
      <queryTableField id="16" name="금형제작처" tableColumnId="16"/>
      <queryTableField id="17" name="Tf" tableColumnId="17"/>
      <queryTableField id="18" name="생산회의" tableColumnId="18"/>
      <queryTableField id="19" name="포장월" tableColumnId="19"/>
    </queryTableFields>
  </queryTableRefresh>
</queryTable>
</file>

<file path=xl/richData/_rels/richValueRel.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4</v>
  </rv>
  <rv s="0">
    <v>1</v>
    <v>4</v>
  </rv>
  <rv s="0">
    <v>2</v>
    <v>4</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959396-9EFF-4237-BB83-641FEA62DD85}" name="BOM_개발품목" displayName="BOM_개발품목" ref="A1:S228" tableType="queryTable" totalsRowShown="0">
  <autoFilter ref="A1:S228" xr:uid="{7E959396-9EFF-4237-BB83-641FEA62DD85}">
    <filterColumn colId="1">
      <filters>
        <filter val="A6867"/>
        <filter val="A6867, A6871"/>
      </filters>
    </filterColumn>
  </autoFilter>
  <tableColumns count="19">
    <tableColumn id="1" xr3:uid="{68D357CE-9274-4F34-9026-FA5D314E1C40}" uniqueName="1" name="제품명" queryTableFieldId="1" dataDxfId="67"/>
    <tableColumn id="2" xr3:uid="{EBA22A2A-CC4A-463A-AA7B-C41843C66104}" uniqueName="2" name="제품도면번호" queryTableFieldId="2" dataDxfId="66"/>
    <tableColumn id="3" xr3:uid="{3970A323-1F95-4913-A6BD-B3AE99564D5E}" uniqueName="3" name="품목도면번호" queryTableFieldId="3" dataDxfId="65"/>
    <tableColumn id="4" xr3:uid="{307964A5-53E9-4507-9407-E0BAE9A73C9C}" uniqueName="4" name="품목코드" queryTableFieldId="4" dataDxfId="64"/>
    <tableColumn id="5" xr3:uid="{D2F73BA8-5BE2-4D86-B34F-D536BE42EF00}" uniqueName="5" name="금형번호" queryTableFieldId="5" dataDxfId="63"/>
    <tableColumn id="6" xr3:uid="{F7DD316E-BD50-408E-BAF8-6B2FD8DEE658}" uniqueName="6" name="개취수" queryTableFieldId="6"/>
    <tableColumn id="7" xr3:uid="{1B90F047-64AC-40C4-B420-CCB4EF3F2119}" uniqueName="7" name="사양" queryTableFieldId="7" dataDxfId="62"/>
    <tableColumn id="8" xr3:uid="{7D71C6D4-D9C7-4C6A-A2CE-D23945E6E127}" uniqueName="8" name="생산처" queryTableFieldId="8" dataDxfId="61"/>
    <tableColumn id="9" xr3:uid="{0F2860FB-7A73-4FE5-94D2-6F148F5F4099}" uniqueName="9" name="도면_무게" queryTableFieldId="9"/>
    <tableColumn id="10" xr3:uid="{D18E6CA1-0CE4-4B13-BC0A-2CC0AF96CF85}" uniqueName="10" name="완제품코드" queryTableFieldId="10"/>
    <tableColumn id="11" xr3:uid="{6E6DD9C2-F7C5-4E17-B12E-B701A2DCBEFF}" uniqueName="11" name="구버전" queryTableFieldId="11" dataDxfId="60"/>
    <tableColumn id="12" xr3:uid="{BF7C3824-1B99-4B08-ABB3-02BE53429316}" uniqueName="12" name="색상" queryTableFieldId="12" dataDxfId="59"/>
    <tableColumn id="13" xr3:uid="{25898E3F-7492-45AE-8287-5043BD94879F}" uniqueName="13" name="금형명" queryTableFieldId="13" dataDxfId="58"/>
    <tableColumn id="14" xr3:uid="{118159DE-C98D-4DA0-9B0C-761FE1AF66FE}" uniqueName="14" name="포장재 개발팀" queryTableFieldId="14" dataDxfId="57"/>
    <tableColumn id="15" xr3:uid="{8EA5D766-7D5A-4322-A995-35D436781D78}" uniqueName="15" name="감리처" queryTableFieldId="15" dataDxfId="56"/>
    <tableColumn id="16" xr3:uid="{887EAE88-41DD-4AF8-8573-D5A69C17BB65}" uniqueName="16" name="금형제작처" queryTableFieldId="16" dataDxfId="55"/>
    <tableColumn id="17" xr3:uid="{152D3493-F4F0-42A3-8F3F-287F93D623EE}" uniqueName="17" name="Tf" queryTableFieldId="17"/>
    <tableColumn id="18" xr3:uid="{866F789C-A2E1-4D34-94D8-4E8386A04913}" uniqueName="18" name="생산회의" queryTableFieldId="18"/>
    <tableColumn id="19" xr3:uid="{A44A5EE8-D976-4B9A-B8E7-D67B18F390EA}" uniqueName="19" name="포장월" queryTableFieldId="1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EE9768-157C-4739-B8B3-87A46BCC13CE}" name="실험지시" displayName="실험지시" ref="A1:T490" totalsRowShown="0" headerRowDxfId="34">
  <autoFilter ref="A1:T490" xr:uid="{79EE9768-157C-4739-B8B3-87A46BCC13CE}"/>
  <tableColumns count="20">
    <tableColumn id="2" xr3:uid="{12149F93-DB30-497F-9119-50C0AA8D9D35}" name="의뢰코드" dataDxfId="33"/>
    <tableColumn id="3" xr3:uid="{98484070-B402-45FD-ADDF-AD13578A4CC0}" name="제품명" dataDxfId="32">
      <calculatedColumnFormula>IFERROR(VLOOKUP($A2,[5]실험의뢰_장진영!$A:$M,3,0),"")</calculatedColumnFormula>
    </tableColumn>
    <tableColumn id="4" xr3:uid="{535115BD-BCC4-44A5-AA8B-56AB282DC2FE}" name="금형코드" dataDxfId="31">
      <calculatedColumnFormula>IFERROR(VLOOKUP($A2,[5]실험의뢰_장진영!$A:$M,9,0),"")</calculatedColumnFormula>
    </tableColumn>
    <tableColumn id="9" xr3:uid="{8A538AAB-BCCB-44AD-B165-D0904B116EA6}" name="품목코드" dataDxfId="30">
      <calculatedColumnFormula>IFERROR(VLOOKUP($A2,[5]실험의뢰_장진영!$A:$M,7,0),"")</calculatedColumnFormula>
    </tableColumn>
    <tableColumn id="1" xr3:uid="{5D6A2D35-B2EF-4291-8C11-BF8CDAB06CF6}" name="실험지시일자" dataDxfId="29"/>
    <tableColumn id="8" xr3:uid="{B4F5EE77-520E-4348-A276-3E56E8B7FFC3}" name="실험자" dataDxfId="28"/>
    <tableColumn id="5" xr3:uid="{ADC51981-12F3-43FA-9D30-926AACB5FC02}" name="실험원료"/>
    <tableColumn id="6" xr3:uid="{5EDD28C0-A576-4174-A52B-62363B01C027}" name="실험MB"/>
    <tableColumn id="7" xr3:uid="{414BA8A5-C4B3-4255-95D7-8D22ECD6B689}" name="실험함량" dataDxfId="27"/>
    <tableColumn id="16" xr3:uid="{CE19D01E-7840-44BC-85E5-09CCB2E57B97}" name="실험호기" dataCellStyle="쉼표 [0]"/>
    <tableColumn id="18" xr3:uid="{124BB483-0094-4570-927E-8E5DA8736C50}" name="도면버전" dataDxfId="26" dataCellStyle="쉼표 [0]"/>
    <tableColumn id="19" xr3:uid="{4C599182-D65A-453C-8234-31EA55399593}" name="실험금형번호" dataDxfId="25" dataCellStyle="쉼표 [0]">
      <calculatedColumnFormula>실험지시[[#This Row],[금형코드]]</calculatedColumnFormula>
    </tableColumn>
    <tableColumn id="10" xr3:uid="{45982376-B9C5-41FE-8BD5-7624E9739A4C}" name="수량" dataDxfId="24">
      <calculatedColumnFormula>IFERROR(VLOOKUP($A2,[5]실험의뢰_장진영!$A:$M,5,0),"")</calculatedColumnFormula>
    </tableColumn>
    <tableColumn id="11" xr3:uid="{94E0D2FF-1334-4075-AD75-AF0F669E5A29}" name="목적" dataDxfId="23">
      <calculatedColumnFormula>IFERROR(VLOOKUP($A2,[5]실험의뢰_장진영!$A:$M,4,0),"")</calculatedColumnFormula>
    </tableColumn>
    <tableColumn id="12" xr3:uid="{373F1C7A-9407-4B3D-9498-71F28FD2A63E}" name="납기일" dataDxfId="22">
      <calculatedColumnFormula>IFERROR(VLOOKUP($A2,[5]실험의뢰_장진영!$A:$M,6,0),"")</calculatedColumnFormula>
    </tableColumn>
    <tableColumn id="13" xr3:uid="{DD4707D9-3A1B-4F39-9CD8-803C45D10FD4}" name="원료명" dataDxfId="21">
      <calculatedColumnFormula>IFERROR(VLOOKUP($A2,[5]실험의뢰_장진영!$A:$M,10,0),"")</calculatedColumnFormula>
    </tableColumn>
    <tableColumn id="14" xr3:uid="{73BE8176-170E-42AA-9115-238A5DC4EF5C}" name="MB" dataDxfId="20">
      <calculatedColumnFormula>IFERROR(VLOOKUP($A2,[5]실험의뢰_장진영!$A:$M,11,0),"")</calculatedColumnFormula>
    </tableColumn>
    <tableColumn id="15" xr3:uid="{424DFF3A-5B4A-4799-BEEE-98B5CC0E13D5}" name="함량" dataDxfId="19">
      <calculatedColumnFormula>IFERROR(VLOOKUP($A2,[5]실험의뢰_장진영!$A:$M,12,0),"")</calculatedColumnFormula>
    </tableColumn>
    <tableColumn id="17" xr3:uid="{47D5BFF0-8D7D-40A1-9595-0BB9D6A77FA5}" name="요구사항" dataDxfId="18">
      <calculatedColumnFormula>IFERROR(VLOOKUP($A2,[5]실험의뢰_장진영!$A:$M,13,0),"")</calculatedColumnFormula>
    </tableColumn>
    <tableColumn id="20" xr3:uid="{9AFCF40E-08F3-493B-BE59-D1F340B57170}" name="열1" dataDxfId="17"/>
  </tableColumns>
  <tableStyleInfo name="TableStyleMedium2"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G64" dT="2024-11-20T21:21:34.55" personId="{AEF2935B-AB87-435D-AF1A-B372CF96703B}" id="{C9D4AD44-9040-4293-8F68-56F7D6F36375}">
    <text>기존 제품도 실험의뢰시 개발_품목 파일에 추가해 주셔야합니다.  개발과 관련하여 정해진 프로세스로 작성해 주셔야 다음 공정이 진행이 됩니다.</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C6AD6-CC68-4BDC-A237-4FE012826E64}">
  <sheetPr codeName="Sheet6"/>
  <dimension ref="A1:S228"/>
  <sheetViews>
    <sheetView topLeftCell="A94" zoomScale="80" zoomScaleNormal="80" workbookViewId="0">
      <selection activeCell="A227" sqref="A227"/>
    </sheetView>
  </sheetViews>
  <sheetFormatPr defaultRowHeight="16.5"/>
  <cols>
    <col min="1" max="1" width="71.25" bestFit="1" customWidth="1"/>
    <col min="2" max="2" width="15.875" bestFit="1" customWidth="1"/>
    <col min="3" max="3" width="30.625" bestFit="1" customWidth="1"/>
    <col min="4" max="4" width="11.875" bestFit="1" customWidth="1"/>
    <col min="5" max="5" width="55" bestFit="1" customWidth="1"/>
    <col min="6" max="6" width="10" bestFit="1" customWidth="1"/>
    <col min="7" max="7" width="60.625" bestFit="1" customWidth="1"/>
    <col min="8" max="8" width="14.875" bestFit="1" customWidth="1"/>
    <col min="9" max="9" width="12.625" bestFit="1" customWidth="1"/>
    <col min="10" max="10" width="13.75" bestFit="1" customWidth="1"/>
    <col min="11" max="11" width="10" bestFit="1" customWidth="1"/>
    <col min="12" max="12" width="35" bestFit="1" customWidth="1"/>
    <col min="13" max="13" width="60.125" bestFit="1" customWidth="1"/>
    <col min="14" max="14" width="16.5" bestFit="1" customWidth="1"/>
    <col min="15" max="15" width="16.375" bestFit="1" customWidth="1"/>
    <col min="16" max="16" width="18.25" bestFit="1" customWidth="1"/>
    <col min="17" max="17" width="7.375" bestFit="1" customWidth="1"/>
    <col min="18" max="18" width="11.875" bestFit="1" customWidth="1"/>
    <col min="19" max="19" width="10" bestFit="1" customWidth="1"/>
  </cols>
  <sheetData>
    <row r="1" spans="1:19">
      <c r="A1" t="s">
        <v>963</v>
      </c>
      <c r="B1" t="s">
        <v>964</v>
      </c>
      <c r="C1" t="s">
        <v>965</v>
      </c>
      <c r="D1" t="s">
        <v>966</v>
      </c>
      <c r="E1" t="s">
        <v>967</v>
      </c>
      <c r="F1" t="s">
        <v>968</v>
      </c>
      <c r="G1" t="s">
        <v>969</v>
      </c>
      <c r="H1" t="s">
        <v>970</v>
      </c>
      <c r="I1" t="s">
        <v>971</v>
      </c>
      <c r="J1" t="s">
        <v>972</v>
      </c>
      <c r="K1" t="s">
        <v>973</v>
      </c>
      <c r="L1" t="s">
        <v>974</v>
      </c>
      <c r="M1" t="s">
        <v>975</v>
      </c>
      <c r="N1" t="s">
        <v>1406</v>
      </c>
      <c r="O1" t="s">
        <v>35</v>
      </c>
      <c r="P1" t="s">
        <v>30</v>
      </c>
      <c r="Q1" t="s">
        <v>1718</v>
      </c>
      <c r="R1" t="s">
        <v>1719</v>
      </c>
      <c r="S1" t="s">
        <v>1720</v>
      </c>
    </row>
    <row r="2" spans="1:19" hidden="1">
      <c r="A2" t="s">
        <v>976</v>
      </c>
      <c r="B2" t="s">
        <v>977</v>
      </c>
      <c r="C2" t="s">
        <v>978</v>
      </c>
      <c r="E2" t="s">
        <v>979</v>
      </c>
      <c r="H2" t="s">
        <v>980</v>
      </c>
      <c r="M2" t="s">
        <v>523</v>
      </c>
      <c r="N2" t="s">
        <v>1407</v>
      </c>
      <c r="O2" t="s">
        <v>1408</v>
      </c>
      <c r="P2" t="s">
        <v>1409</v>
      </c>
    </row>
    <row r="3" spans="1:19" hidden="1">
      <c r="A3" t="s">
        <v>523</v>
      </c>
      <c r="B3" t="s">
        <v>977</v>
      </c>
      <c r="C3" t="s">
        <v>978</v>
      </c>
      <c r="D3" t="s">
        <v>981</v>
      </c>
      <c r="E3" t="s">
        <v>979</v>
      </c>
      <c r="F3">
        <v>4</v>
      </c>
      <c r="G3" t="s">
        <v>982</v>
      </c>
      <c r="H3" t="s">
        <v>980</v>
      </c>
      <c r="M3" t="s">
        <v>523</v>
      </c>
      <c r="N3" t="s">
        <v>1407</v>
      </c>
      <c r="O3" t="s">
        <v>1408</v>
      </c>
      <c r="P3" t="s">
        <v>1409</v>
      </c>
    </row>
    <row r="4" spans="1:19" hidden="1">
      <c r="A4" t="s">
        <v>983</v>
      </c>
      <c r="B4" t="s">
        <v>977</v>
      </c>
      <c r="C4" t="s">
        <v>984</v>
      </c>
      <c r="E4" t="s">
        <v>179</v>
      </c>
      <c r="F4">
        <v>4</v>
      </c>
      <c r="H4" t="s">
        <v>980</v>
      </c>
      <c r="M4" t="s">
        <v>178</v>
      </c>
      <c r="N4" t="s">
        <v>1407</v>
      </c>
      <c r="O4" t="s">
        <v>1408</v>
      </c>
      <c r="P4" t="s">
        <v>1409</v>
      </c>
    </row>
    <row r="5" spans="1:19" hidden="1">
      <c r="A5" t="s">
        <v>178</v>
      </c>
      <c r="B5" t="s">
        <v>977</v>
      </c>
      <c r="C5" t="s">
        <v>984</v>
      </c>
      <c r="D5" t="s">
        <v>180</v>
      </c>
      <c r="E5" t="s">
        <v>179</v>
      </c>
      <c r="F5">
        <v>4</v>
      </c>
      <c r="G5" t="s">
        <v>181</v>
      </c>
      <c r="H5" t="s">
        <v>980</v>
      </c>
      <c r="M5" t="s">
        <v>178</v>
      </c>
      <c r="N5" t="s">
        <v>1407</v>
      </c>
      <c r="O5" t="s">
        <v>1408</v>
      </c>
      <c r="P5" t="s">
        <v>1409</v>
      </c>
    </row>
    <row r="6" spans="1:19" hidden="1">
      <c r="A6" t="s">
        <v>985</v>
      </c>
      <c r="B6" t="s">
        <v>977</v>
      </c>
      <c r="H6" t="s">
        <v>986</v>
      </c>
      <c r="N6" t="s">
        <v>1407</v>
      </c>
      <c r="O6" t="s">
        <v>1408</v>
      </c>
      <c r="P6" t="s">
        <v>1409</v>
      </c>
    </row>
    <row r="7" spans="1:19" hidden="1">
      <c r="A7" t="s">
        <v>987</v>
      </c>
      <c r="B7" t="s">
        <v>977</v>
      </c>
      <c r="G7" t="s">
        <v>988</v>
      </c>
      <c r="N7" t="s">
        <v>1407</v>
      </c>
      <c r="O7" t="s">
        <v>1408</v>
      </c>
      <c r="P7" t="s">
        <v>1409</v>
      </c>
    </row>
    <row r="8" spans="1:19" hidden="1">
      <c r="A8" t="s">
        <v>989</v>
      </c>
      <c r="B8" t="s">
        <v>990</v>
      </c>
      <c r="C8" t="s">
        <v>991</v>
      </c>
      <c r="E8" t="s">
        <v>992</v>
      </c>
      <c r="F8">
        <v>4</v>
      </c>
      <c r="G8" t="s">
        <v>993</v>
      </c>
      <c r="J8">
        <v>7552827</v>
      </c>
      <c r="M8" t="s">
        <v>571</v>
      </c>
      <c r="N8" t="s">
        <v>1407</v>
      </c>
      <c r="O8" t="s">
        <v>1408</v>
      </c>
      <c r="P8" t="s">
        <v>1409</v>
      </c>
    </row>
    <row r="9" spans="1:19" hidden="1">
      <c r="A9" t="s">
        <v>571</v>
      </c>
      <c r="B9" t="s">
        <v>990</v>
      </c>
      <c r="C9" t="s">
        <v>991</v>
      </c>
      <c r="D9" t="s">
        <v>994</v>
      </c>
      <c r="E9" t="s">
        <v>992</v>
      </c>
      <c r="F9">
        <v>4</v>
      </c>
      <c r="G9" t="s">
        <v>995</v>
      </c>
      <c r="H9" t="s">
        <v>980</v>
      </c>
      <c r="I9">
        <v>1.4</v>
      </c>
      <c r="J9">
        <v>7552827</v>
      </c>
      <c r="M9" t="s">
        <v>571</v>
      </c>
      <c r="N9" t="s">
        <v>1407</v>
      </c>
      <c r="O9" t="s">
        <v>1408</v>
      </c>
      <c r="P9" t="s">
        <v>1409</v>
      </c>
    </row>
    <row r="10" spans="1:19" hidden="1">
      <c r="A10" t="s">
        <v>996</v>
      </c>
      <c r="B10" t="s">
        <v>990</v>
      </c>
      <c r="C10" t="s">
        <v>997</v>
      </c>
      <c r="E10" t="s">
        <v>998</v>
      </c>
      <c r="F10">
        <v>4</v>
      </c>
      <c r="G10" t="s">
        <v>999</v>
      </c>
      <c r="J10">
        <v>7552827</v>
      </c>
      <c r="M10" t="s">
        <v>534</v>
      </c>
      <c r="N10" t="s">
        <v>1407</v>
      </c>
      <c r="O10" t="s">
        <v>1408</v>
      </c>
      <c r="P10" t="s">
        <v>1409</v>
      </c>
    </row>
    <row r="11" spans="1:19" hidden="1">
      <c r="A11" t="s">
        <v>534</v>
      </c>
      <c r="B11" t="s">
        <v>990</v>
      </c>
      <c r="C11" t="s">
        <v>997</v>
      </c>
      <c r="D11" t="s">
        <v>1000</v>
      </c>
      <c r="E11" t="s">
        <v>998</v>
      </c>
      <c r="F11">
        <v>4</v>
      </c>
      <c r="G11" t="s">
        <v>487</v>
      </c>
      <c r="H11" t="s">
        <v>980</v>
      </c>
      <c r="I11">
        <v>10.9</v>
      </c>
      <c r="J11">
        <v>7552827</v>
      </c>
      <c r="M11" t="s">
        <v>534</v>
      </c>
      <c r="N11" t="s">
        <v>1407</v>
      </c>
      <c r="O11" t="s">
        <v>1408</v>
      </c>
      <c r="P11" t="s">
        <v>1409</v>
      </c>
    </row>
    <row r="12" spans="1:19" hidden="1">
      <c r="A12" t="s">
        <v>530</v>
      </c>
      <c r="B12" t="s">
        <v>990</v>
      </c>
      <c r="C12" t="s">
        <v>1001</v>
      </c>
      <c r="D12" t="s">
        <v>1002</v>
      </c>
      <c r="E12" t="s">
        <v>1003</v>
      </c>
      <c r="F12">
        <v>4</v>
      </c>
      <c r="G12" t="s">
        <v>982</v>
      </c>
      <c r="H12" t="s">
        <v>980</v>
      </c>
      <c r="I12">
        <v>7.2</v>
      </c>
      <c r="J12">
        <v>7552827</v>
      </c>
      <c r="M12" t="s">
        <v>530</v>
      </c>
      <c r="N12" t="s">
        <v>1407</v>
      </c>
      <c r="O12" t="s">
        <v>1408</v>
      </c>
      <c r="P12" t="s">
        <v>1409</v>
      </c>
    </row>
    <row r="13" spans="1:19" hidden="1">
      <c r="A13" t="s">
        <v>1004</v>
      </c>
      <c r="B13" t="s">
        <v>990</v>
      </c>
      <c r="G13" t="s">
        <v>1005</v>
      </c>
      <c r="J13">
        <v>7552827</v>
      </c>
      <c r="N13" t="s">
        <v>1407</v>
      </c>
      <c r="O13" t="s">
        <v>1408</v>
      </c>
      <c r="P13" t="s">
        <v>1409</v>
      </c>
    </row>
    <row r="14" spans="1:19" hidden="1">
      <c r="A14" t="s">
        <v>1006</v>
      </c>
      <c r="B14" t="s">
        <v>990</v>
      </c>
      <c r="G14" t="s">
        <v>988</v>
      </c>
      <c r="J14">
        <v>7552827</v>
      </c>
      <c r="N14" t="s">
        <v>1407</v>
      </c>
      <c r="O14" t="s">
        <v>1408</v>
      </c>
      <c r="P14" t="s">
        <v>1409</v>
      </c>
    </row>
    <row r="15" spans="1:19" hidden="1">
      <c r="A15" t="s">
        <v>1007</v>
      </c>
      <c r="B15" t="s">
        <v>1008</v>
      </c>
      <c r="C15" t="s">
        <v>1009</v>
      </c>
      <c r="E15" t="s">
        <v>1010</v>
      </c>
      <c r="F15">
        <v>4</v>
      </c>
      <c r="G15" t="s">
        <v>1011</v>
      </c>
      <c r="J15">
        <v>7555211</v>
      </c>
      <c r="M15" t="s">
        <v>1012</v>
      </c>
      <c r="N15" t="s">
        <v>1410</v>
      </c>
      <c r="O15" t="s">
        <v>1408</v>
      </c>
      <c r="P15" t="s">
        <v>1409</v>
      </c>
    </row>
    <row r="16" spans="1:19" hidden="1">
      <c r="A16" t="s">
        <v>548</v>
      </c>
      <c r="B16" t="s">
        <v>1008</v>
      </c>
      <c r="C16" t="s">
        <v>1009</v>
      </c>
      <c r="D16" t="s">
        <v>1013</v>
      </c>
      <c r="E16" t="s">
        <v>1010</v>
      </c>
      <c r="F16">
        <v>4</v>
      </c>
      <c r="G16" t="s">
        <v>487</v>
      </c>
      <c r="H16" t="s">
        <v>980</v>
      </c>
      <c r="I16">
        <v>10</v>
      </c>
      <c r="J16">
        <v>7555211</v>
      </c>
      <c r="M16" t="s">
        <v>1012</v>
      </c>
      <c r="N16" t="s">
        <v>1410</v>
      </c>
      <c r="O16" t="s">
        <v>1408</v>
      </c>
      <c r="P16" t="s">
        <v>1409</v>
      </c>
    </row>
    <row r="17" spans="1:16" hidden="1">
      <c r="A17" t="s">
        <v>1014</v>
      </c>
      <c r="B17" t="s">
        <v>1008</v>
      </c>
      <c r="C17" t="s">
        <v>1015</v>
      </c>
      <c r="E17" t="s">
        <v>1016</v>
      </c>
      <c r="F17">
        <v>4</v>
      </c>
      <c r="G17" t="s">
        <v>1017</v>
      </c>
      <c r="J17">
        <v>7555211</v>
      </c>
      <c r="M17" t="s">
        <v>1018</v>
      </c>
      <c r="N17" t="s">
        <v>1410</v>
      </c>
      <c r="O17" t="s">
        <v>1408</v>
      </c>
      <c r="P17" t="s">
        <v>1409</v>
      </c>
    </row>
    <row r="18" spans="1:16" hidden="1">
      <c r="A18" t="s">
        <v>541</v>
      </c>
      <c r="B18" t="s">
        <v>1008</v>
      </c>
      <c r="C18" t="s">
        <v>1015</v>
      </c>
      <c r="D18" t="s">
        <v>1019</v>
      </c>
      <c r="E18" t="s">
        <v>1016</v>
      </c>
      <c r="F18">
        <v>4</v>
      </c>
      <c r="G18" t="s">
        <v>487</v>
      </c>
      <c r="H18" t="s">
        <v>980</v>
      </c>
      <c r="I18">
        <v>8.8000000000000007</v>
      </c>
      <c r="J18">
        <v>7555211</v>
      </c>
      <c r="M18" t="s">
        <v>1018</v>
      </c>
      <c r="N18" t="s">
        <v>1410</v>
      </c>
      <c r="O18" t="s">
        <v>1408</v>
      </c>
      <c r="P18" t="s">
        <v>1409</v>
      </c>
    </row>
    <row r="19" spans="1:16" hidden="1">
      <c r="A19" t="s">
        <v>1020</v>
      </c>
      <c r="B19" t="s">
        <v>1008</v>
      </c>
      <c r="C19" t="s">
        <v>1021</v>
      </c>
      <c r="E19" t="s">
        <v>1022</v>
      </c>
      <c r="F19">
        <v>4</v>
      </c>
      <c r="G19" t="s">
        <v>1011</v>
      </c>
      <c r="J19">
        <v>7555211</v>
      </c>
      <c r="M19" t="s">
        <v>1023</v>
      </c>
      <c r="N19" t="s">
        <v>1410</v>
      </c>
      <c r="O19" t="s">
        <v>1408</v>
      </c>
      <c r="P19" t="s">
        <v>1409</v>
      </c>
    </row>
    <row r="20" spans="1:16" hidden="1">
      <c r="A20" t="s">
        <v>544</v>
      </c>
      <c r="B20" t="s">
        <v>1008</v>
      </c>
      <c r="C20" t="s">
        <v>1021</v>
      </c>
      <c r="D20" t="s">
        <v>1024</v>
      </c>
      <c r="E20" t="s">
        <v>1022</v>
      </c>
      <c r="F20">
        <v>4</v>
      </c>
      <c r="G20" t="s">
        <v>982</v>
      </c>
      <c r="H20" t="s">
        <v>980</v>
      </c>
      <c r="I20">
        <v>16.8</v>
      </c>
      <c r="J20">
        <v>7555211</v>
      </c>
      <c r="M20" t="s">
        <v>1023</v>
      </c>
      <c r="N20" t="s">
        <v>1410</v>
      </c>
      <c r="O20" t="s">
        <v>1408</v>
      </c>
      <c r="P20" t="s">
        <v>1409</v>
      </c>
    </row>
    <row r="21" spans="1:16" hidden="1">
      <c r="A21" t="s">
        <v>1025</v>
      </c>
      <c r="B21" t="s">
        <v>1008</v>
      </c>
      <c r="G21" t="s">
        <v>1026</v>
      </c>
      <c r="H21" t="s">
        <v>980</v>
      </c>
      <c r="J21">
        <v>7555211</v>
      </c>
      <c r="N21" t="s">
        <v>1410</v>
      </c>
      <c r="O21" t="s">
        <v>1408</v>
      </c>
      <c r="P21" t="s">
        <v>1409</v>
      </c>
    </row>
    <row r="22" spans="1:16" hidden="1">
      <c r="A22" t="s">
        <v>549</v>
      </c>
      <c r="B22" t="s">
        <v>1008</v>
      </c>
      <c r="C22" t="s">
        <v>1027</v>
      </c>
      <c r="D22" t="s">
        <v>1028</v>
      </c>
      <c r="E22" t="s">
        <v>1029</v>
      </c>
      <c r="F22">
        <v>8</v>
      </c>
      <c r="G22" t="s">
        <v>982</v>
      </c>
      <c r="H22" t="s">
        <v>980</v>
      </c>
      <c r="I22">
        <v>11.7</v>
      </c>
      <c r="J22">
        <v>7555210</v>
      </c>
      <c r="M22" t="s">
        <v>549</v>
      </c>
      <c r="N22" t="s">
        <v>1410</v>
      </c>
      <c r="O22" t="s">
        <v>1408</v>
      </c>
      <c r="P22" t="s">
        <v>1409</v>
      </c>
    </row>
    <row r="23" spans="1:16" hidden="1">
      <c r="A23" t="s">
        <v>526</v>
      </c>
      <c r="B23" t="s">
        <v>1030</v>
      </c>
      <c r="C23" t="s">
        <v>1031</v>
      </c>
      <c r="D23" t="s">
        <v>1032</v>
      </c>
      <c r="E23" t="s">
        <v>1033</v>
      </c>
      <c r="F23">
        <v>4</v>
      </c>
      <c r="G23" t="s">
        <v>982</v>
      </c>
      <c r="H23" t="s">
        <v>980</v>
      </c>
      <c r="J23">
        <v>7554029</v>
      </c>
      <c r="M23" t="s">
        <v>526</v>
      </c>
      <c r="N23" t="s">
        <v>1407</v>
      </c>
      <c r="O23" t="s">
        <v>1408</v>
      </c>
      <c r="P23" t="s">
        <v>1409</v>
      </c>
    </row>
    <row r="24" spans="1:16" hidden="1">
      <c r="A24" t="s">
        <v>527</v>
      </c>
      <c r="B24" t="s">
        <v>1030</v>
      </c>
      <c r="C24" t="s">
        <v>1034</v>
      </c>
      <c r="D24" t="s">
        <v>1035</v>
      </c>
      <c r="E24" t="s">
        <v>1036</v>
      </c>
      <c r="F24">
        <v>4</v>
      </c>
      <c r="G24" t="s">
        <v>982</v>
      </c>
      <c r="H24" t="s">
        <v>980</v>
      </c>
      <c r="J24">
        <v>7554029</v>
      </c>
      <c r="M24" t="s">
        <v>527</v>
      </c>
      <c r="N24" t="s">
        <v>1407</v>
      </c>
      <c r="O24" t="s">
        <v>1408</v>
      </c>
      <c r="P24" t="s">
        <v>1409</v>
      </c>
    </row>
    <row r="25" spans="1:16" hidden="1">
      <c r="A25" t="s">
        <v>557</v>
      </c>
      <c r="B25" t="s">
        <v>1037</v>
      </c>
      <c r="D25" t="s">
        <v>1038</v>
      </c>
      <c r="E25" t="s">
        <v>1039</v>
      </c>
      <c r="F25">
        <v>4</v>
      </c>
      <c r="G25" t="s">
        <v>1040</v>
      </c>
      <c r="H25" t="s">
        <v>980</v>
      </c>
      <c r="M25" t="s">
        <v>1041</v>
      </c>
      <c r="N25" t="s">
        <v>1411</v>
      </c>
      <c r="P25" t="s">
        <v>1412</v>
      </c>
    </row>
    <row r="26" spans="1:16" hidden="1">
      <c r="A26" t="s">
        <v>1042</v>
      </c>
      <c r="B26" t="s">
        <v>1037</v>
      </c>
      <c r="F26">
        <v>4</v>
      </c>
      <c r="N26" t="s">
        <v>1411</v>
      </c>
      <c r="P26" t="s">
        <v>1412</v>
      </c>
    </row>
    <row r="27" spans="1:16" hidden="1">
      <c r="A27" t="s">
        <v>1043</v>
      </c>
      <c r="B27" t="s">
        <v>1037</v>
      </c>
      <c r="E27" t="s">
        <v>1044</v>
      </c>
      <c r="F27">
        <v>4</v>
      </c>
      <c r="G27" t="s">
        <v>1045</v>
      </c>
      <c r="M27" t="s">
        <v>1041</v>
      </c>
      <c r="N27" t="s">
        <v>1411</v>
      </c>
      <c r="P27" t="s">
        <v>1412</v>
      </c>
    </row>
    <row r="28" spans="1:16" hidden="1">
      <c r="A28" t="s">
        <v>554</v>
      </c>
      <c r="B28" t="s">
        <v>1037</v>
      </c>
      <c r="D28" t="s">
        <v>1046</v>
      </c>
      <c r="E28" t="s">
        <v>1044</v>
      </c>
      <c r="F28">
        <v>4</v>
      </c>
      <c r="G28" t="s">
        <v>982</v>
      </c>
      <c r="H28" t="s">
        <v>980</v>
      </c>
      <c r="M28" t="s">
        <v>1041</v>
      </c>
      <c r="N28" t="s">
        <v>1411</v>
      </c>
      <c r="P28" t="s">
        <v>1412</v>
      </c>
    </row>
    <row r="29" spans="1:16" hidden="1">
      <c r="A29" t="s">
        <v>556</v>
      </c>
      <c r="B29" t="s">
        <v>1037</v>
      </c>
      <c r="D29" t="s">
        <v>1047</v>
      </c>
      <c r="E29" t="s">
        <v>1048</v>
      </c>
      <c r="F29">
        <v>4</v>
      </c>
      <c r="G29" t="s">
        <v>982</v>
      </c>
      <c r="H29" t="s">
        <v>980</v>
      </c>
      <c r="M29" t="s">
        <v>1041</v>
      </c>
      <c r="N29" t="s">
        <v>1411</v>
      </c>
      <c r="P29" t="s">
        <v>1412</v>
      </c>
    </row>
    <row r="30" spans="1:16" hidden="1">
      <c r="A30" t="s">
        <v>601</v>
      </c>
      <c r="B30" t="s">
        <v>1049</v>
      </c>
      <c r="C30" t="s">
        <v>1050</v>
      </c>
      <c r="D30" t="s">
        <v>602</v>
      </c>
      <c r="E30" t="s">
        <v>1051</v>
      </c>
      <c r="F30">
        <v>4</v>
      </c>
      <c r="G30" t="s">
        <v>1040</v>
      </c>
      <c r="H30" t="s">
        <v>980</v>
      </c>
      <c r="M30" t="s">
        <v>1052</v>
      </c>
      <c r="N30" t="s">
        <v>1413</v>
      </c>
      <c r="O30" t="s">
        <v>1408</v>
      </c>
      <c r="P30" t="s">
        <v>1409</v>
      </c>
    </row>
    <row r="31" spans="1:16" hidden="1">
      <c r="A31" t="s">
        <v>561</v>
      </c>
      <c r="B31" t="s">
        <v>1049</v>
      </c>
      <c r="C31" t="s">
        <v>1053</v>
      </c>
      <c r="D31" t="s">
        <v>1054</v>
      </c>
      <c r="E31" t="s">
        <v>1055</v>
      </c>
      <c r="F31">
        <v>4</v>
      </c>
      <c r="G31" t="s">
        <v>1056</v>
      </c>
      <c r="H31" t="s">
        <v>980</v>
      </c>
      <c r="M31" t="s">
        <v>1057</v>
      </c>
      <c r="N31" t="s">
        <v>1413</v>
      </c>
      <c r="O31" t="s">
        <v>1408</v>
      </c>
      <c r="P31" t="s">
        <v>1409</v>
      </c>
    </row>
    <row r="32" spans="1:16" hidden="1">
      <c r="A32" t="s">
        <v>672</v>
      </c>
      <c r="B32" t="s">
        <v>1049</v>
      </c>
      <c r="C32" t="s">
        <v>1058</v>
      </c>
      <c r="D32" t="s">
        <v>1059</v>
      </c>
      <c r="E32" t="s">
        <v>1060</v>
      </c>
      <c r="F32">
        <v>4</v>
      </c>
      <c r="G32" t="s">
        <v>1056</v>
      </c>
      <c r="H32" t="s">
        <v>980</v>
      </c>
      <c r="M32" t="s">
        <v>1061</v>
      </c>
      <c r="N32" t="s">
        <v>1413</v>
      </c>
      <c r="O32" t="s">
        <v>1408</v>
      </c>
      <c r="P32" t="s">
        <v>1409</v>
      </c>
    </row>
    <row r="33" spans="1:16" hidden="1">
      <c r="A33" t="s">
        <v>1062</v>
      </c>
      <c r="B33" t="s">
        <v>1049</v>
      </c>
      <c r="N33" t="s">
        <v>1413</v>
      </c>
      <c r="O33" t="s">
        <v>1408</v>
      </c>
      <c r="P33" t="s">
        <v>1409</v>
      </c>
    </row>
    <row r="34" spans="1:16" hidden="1">
      <c r="A34" t="s">
        <v>538</v>
      </c>
      <c r="B34" t="s">
        <v>1049</v>
      </c>
      <c r="C34" t="s">
        <v>1063</v>
      </c>
      <c r="D34" t="s">
        <v>599</v>
      </c>
      <c r="E34" t="s">
        <v>1064</v>
      </c>
      <c r="F34">
        <v>4</v>
      </c>
      <c r="G34" t="s">
        <v>1065</v>
      </c>
      <c r="H34" t="s">
        <v>980</v>
      </c>
      <c r="M34" t="s">
        <v>1066</v>
      </c>
      <c r="N34" t="s">
        <v>1413</v>
      </c>
      <c r="O34" t="s">
        <v>1408</v>
      </c>
      <c r="P34" t="s">
        <v>1409</v>
      </c>
    </row>
    <row r="35" spans="1:16" hidden="1">
      <c r="A35" t="s">
        <v>558</v>
      </c>
      <c r="B35" t="s">
        <v>1049</v>
      </c>
      <c r="C35" t="s">
        <v>1067</v>
      </c>
      <c r="D35" t="s">
        <v>1068</v>
      </c>
      <c r="E35" t="s">
        <v>1069</v>
      </c>
      <c r="F35">
        <v>4</v>
      </c>
      <c r="G35" t="s">
        <v>1056</v>
      </c>
      <c r="H35" t="s">
        <v>980</v>
      </c>
      <c r="L35" t="s">
        <v>1070</v>
      </c>
      <c r="M35" t="s">
        <v>1071</v>
      </c>
      <c r="N35" t="s">
        <v>1413</v>
      </c>
      <c r="O35" t="s">
        <v>1408</v>
      </c>
      <c r="P35" t="s">
        <v>1409</v>
      </c>
    </row>
    <row r="36" spans="1:16" hidden="1">
      <c r="A36" t="s">
        <v>604</v>
      </c>
      <c r="B36" t="s">
        <v>1049</v>
      </c>
      <c r="C36" t="s">
        <v>1072</v>
      </c>
      <c r="D36" t="s">
        <v>1073</v>
      </c>
      <c r="E36" t="s">
        <v>1074</v>
      </c>
      <c r="F36">
        <v>4</v>
      </c>
      <c r="G36" t="s">
        <v>1056</v>
      </c>
      <c r="H36" t="s">
        <v>980</v>
      </c>
      <c r="M36" t="s">
        <v>1075</v>
      </c>
      <c r="N36" t="s">
        <v>1413</v>
      </c>
      <c r="O36" t="s">
        <v>1408</v>
      </c>
      <c r="P36" t="s">
        <v>1409</v>
      </c>
    </row>
    <row r="37" spans="1:16" hidden="1">
      <c r="A37" t="s">
        <v>1076</v>
      </c>
      <c r="B37" t="s">
        <v>1049</v>
      </c>
      <c r="N37" t="s">
        <v>1413</v>
      </c>
      <c r="O37" t="s">
        <v>1408</v>
      </c>
      <c r="P37" t="s">
        <v>1409</v>
      </c>
    </row>
    <row r="38" spans="1:16" hidden="1">
      <c r="A38" t="s">
        <v>1077</v>
      </c>
      <c r="B38" t="s">
        <v>1078</v>
      </c>
      <c r="J38">
        <v>7550411</v>
      </c>
      <c r="K38" t="s">
        <v>1079</v>
      </c>
      <c r="N38" t="s">
        <v>1414</v>
      </c>
      <c r="P38" t="s">
        <v>1409</v>
      </c>
    </row>
    <row r="39" spans="1:16" hidden="1">
      <c r="A39" t="s">
        <v>1080</v>
      </c>
      <c r="B39" t="s">
        <v>1078</v>
      </c>
      <c r="C39" t="s">
        <v>1081</v>
      </c>
      <c r="E39" t="s">
        <v>1082</v>
      </c>
      <c r="F39">
        <v>8</v>
      </c>
      <c r="G39" t="s">
        <v>995</v>
      </c>
      <c r="I39">
        <v>9.1</v>
      </c>
      <c r="J39">
        <v>7550411</v>
      </c>
      <c r="K39" t="s">
        <v>1079</v>
      </c>
      <c r="M39" t="s">
        <v>1083</v>
      </c>
      <c r="N39" t="s">
        <v>1414</v>
      </c>
      <c r="P39" t="s">
        <v>1409</v>
      </c>
    </row>
    <row r="40" spans="1:16" hidden="1">
      <c r="A40" t="s">
        <v>1084</v>
      </c>
      <c r="B40" t="s">
        <v>1078</v>
      </c>
      <c r="E40" t="s">
        <v>1085</v>
      </c>
      <c r="F40">
        <v>8</v>
      </c>
      <c r="G40" t="s">
        <v>995</v>
      </c>
      <c r="I40">
        <v>7.6</v>
      </c>
      <c r="J40">
        <v>7550411</v>
      </c>
      <c r="K40" t="s">
        <v>1079</v>
      </c>
      <c r="M40" t="s">
        <v>1086</v>
      </c>
      <c r="N40" t="s">
        <v>1414</v>
      </c>
      <c r="P40" t="s">
        <v>1409</v>
      </c>
    </row>
    <row r="41" spans="1:16" hidden="1">
      <c r="A41" t="s">
        <v>562</v>
      </c>
      <c r="B41" t="s">
        <v>1087</v>
      </c>
      <c r="E41" t="s">
        <v>1088</v>
      </c>
      <c r="F41">
        <v>10</v>
      </c>
      <c r="G41" t="s">
        <v>1056</v>
      </c>
      <c r="H41" t="s">
        <v>980</v>
      </c>
      <c r="M41" t="s">
        <v>1089</v>
      </c>
      <c r="N41" t="s">
        <v>1415</v>
      </c>
      <c r="P41" t="s">
        <v>1409</v>
      </c>
    </row>
    <row r="42" spans="1:16" hidden="1">
      <c r="A42" t="s">
        <v>578</v>
      </c>
      <c r="B42" t="s">
        <v>1090</v>
      </c>
      <c r="C42" t="s">
        <v>1091</v>
      </c>
      <c r="D42" t="s">
        <v>1092</v>
      </c>
      <c r="E42" t="s">
        <v>1093</v>
      </c>
      <c r="F42">
        <v>8</v>
      </c>
      <c r="G42" t="s">
        <v>1094</v>
      </c>
      <c r="M42" t="s">
        <v>1095</v>
      </c>
    </row>
    <row r="43" spans="1:16" hidden="1">
      <c r="A43" t="s">
        <v>583</v>
      </c>
      <c r="B43" t="s">
        <v>1090</v>
      </c>
      <c r="C43" t="s">
        <v>1096</v>
      </c>
      <c r="D43" t="s">
        <v>1097</v>
      </c>
      <c r="E43" t="s">
        <v>1098</v>
      </c>
      <c r="F43">
        <v>8</v>
      </c>
      <c r="G43" t="s">
        <v>1099</v>
      </c>
      <c r="M43" t="s">
        <v>1100</v>
      </c>
    </row>
    <row r="44" spans="1:16" hidden="1">
      <c r="A44" t="s">
        <v>574</v>
      </c>
      <c r="B44" t="s">
        <v>1101</v>
      </c>
      <c r="C44" t="s">
        <v>1102</v>
      </c>
      <c r="D44" t="s">
        <v>1103</v>
      </c>
      <c r="E44" t="s">
        <v>1104</v>
      </c>
      <c r="F44">
        <v>16</v>
      </c>
      <c r="M44" t="s">
        <v>1105</v>
      </c>
    </row>
    <row r="45" spans="1:16" hidden="1">
      <c r="A45" t="s">
        <v>1106</v>
      </c>
      <c r="B45" t="s">
        <v>1078</v>
      </c>
      <c r="J45">
        <v>7550413</v>
      </c>
      <c r="K45" t="s">
        <v>1079</v>
      </c>
      <c r="N45" t="s">
        <v>1414</v>
      </c>
      <c r="P45" t="s">
        <v>1409</v>
      </c>
    </row>
    <row r="46" spans="1:16" hidden="1">
      <c r="A46" t="s">
        <v>1107</v>
      </c>
      <c r="B46" t="s">
        <v>1078</v>
      </c>
      <c r="C46" t="s">
        <v>1108</v>
      </c>
      <c r="E46" t="s">
        <v>1109</v>
      </c>
      <c r="F46">
        <v>8</v>
      </c>
      <c r="G46" t="s">
        <v>1110</v>
      </c>
      <c r="I46">
        <v>4.8</v>
      </c>
      <c r="J46">
        <v>7550413</v>
      </c>
      <c r="K46" t="s">
        <v>1079</v>
      </c>
      <c r="M46" t="s">
        <v>1111</v>
      </c>
      <c r="N46" t="s">
        <v>1414</v>
      </c>
      <c r="P46" t="s">
        <v>1409</v>
      </c>
    </row>
    <row r="47" spans="1:16" hidden="1">
      <c r="A47" t="s">
        <v>1112</v>
      </c>
      <c r="B47" t="s">
        <v>1078</v>
      </c>
      <c r="C47" t="s">
        <v>1113</v>
      </c>
      <c r="E47" t="s">
        <v>1114</v>
      </c>
      <c r="F47">
        <v>8</v>
      </c>
      <c r="G47" t="s">
        <v>982</v>
      </c>
      <c r="I47">
        <v>8</v>
      </c>
      <c r="J47">
        <v>7550413</v>
      </c>
      <c r="K47" t="s">
        <v>1079</v>
      </c>
      <c r="M47" t="s">
        <v>1115</v>
      </c>
      <c r="N47" t="s">
        <v>1414</v>
      </c>
      <c r="P47" t="s">
        <v>1409</v>
      </c>
    </row>
    <row r="48" spans="1:16" hidden="1">
      <c r="A48" t="s">
        <v>1116</v>
      </c>
      <c r="B48" t="s">
        <v>1078</v>
      </c>
      <c r="J48">
        <v>7550418</v>
      </c>
      <c r="K48" t="s">
        <v>1079</v>
      </c>
      <c r="N48" t="s">
        <v>1414</v>
      </c>
      <c r="P48" t="s">
        <v>1409</v>
      </c>
    </row>
    <row r="49" spans="1:16" hidden="1">
      <c r="A49" t="s">
        <v>1117</v>
      </c>
      <c r="B49" t="s">
        <v>1078</v>
      </c>
      <c r="C49" t="s">
        <v>1118</v>
      </c>
      <c r="D49" t="s">
        <v>1119</v>
      </c>
      <c r="E49" t="s">
        <v>1120</v>
      </c>
      <c r="G49" t="s">
        <v>982</v>
      </c>
      <c r="I49">
        <v>0.9</v>
      </c>
      <c r="J49">
        <v>7550418</v>
      </c>
      <c r="K49" t="s">
        <v>1079</v>
      </c>
      <c r="M49" t="s">
        <v>1121</v>
      </c>
      <c r="N49" t="s">
        <v>1414</v>
      </c>
      <c r="P49" t="s">
        <v>1409</v>
      </c>
    </row>
    <row r="50" spans="1:16" hidden="1">
      <c r="A50" t="s">
        <v>1122</v>
      </c>
      <c r="B50" t="s">
        <v>1078</v>
      </c>
      <c r="J50">
        <v>7550418</v>
      </c>
      <c r="K50" t="s">
        <v>1079</v>
      </c>
      <c r="N50" t="s">
        <v>1414</v>
      </c>
      <c r="P50" t="s">
        <v>1409</v>
      </c>
    </row>
    <row r="51" spans="1:16" hidden="1">
      <c r="A51" t="s">
        <v>1123</v>
      </c>
      <c r="B51" t="s">
        <v>1078</v>
      </c>
      <c r="J51">
        <v>7550418</v>
      </c>
      <c r="K51" t="s">
        <v>1079</v>
      </c>
      <c r="N51" t="s">
        <v>1414</v>
      </c>
      <c r="P51" t="s">
        <v>1409</v>
      </c>
    </row>
    <row r="52" spans="1:16" hidden="1">
      <c r="A52" t="s">
        <v>587</v>
      </c>
      <c r="B52" t="s">
        <v>1124</v>
      </c>
      <c r="D52" t="s">
        <v>1125</v>
      </c>
      <c r="E52" t="s">
        <v>1126</v>
      </c>
      <c r="F52">
        <v>8</v>
      </c>
      <c r="G52" t="s">
        <v>1127</v>
      </c>
      <c r="J52">
        <v>7454708</v>
      </c>
      <c r="L52" t="s">
        <v>1128</v>
      </c>
      <c r="M52" t="s">
        <v>1129</v>
      </c>
      <c r="N52" t="s">
        <v>1416</v>
      </c>
      <c r="P52" t="s">
        <v>1417</v>
      </c>
    </row>
    <row r="53" spans="1:16" hidden="1">
      <c r="A53" t="s">
        <v>590</v>
      </c>
      <c r="B53" t="s">
        <v>1124</v>
      </c>
      <c r="D53" t="s">
        <v>1130</v>
      </c>
      <c r="E53" t="s">
        <v>1131</v>
      </c>
      <c r="F53">
        <v>8</v>
      </c>
      <c r="G53" t="s">
        <v>1132</v>
      </c>
      <c r="J53">
        <v>7557065</v>
      </c>
      <c r="L53" t="s">
        <v>1133</v>
      </c>
      <c r="M53" t="s">
        <v>1134</v>
      </c>
      <c r="N53" t="s">
        <v>1416</v>
      </c>
      <c r="P53" t="s">
        <v>1417</v>
      </c>
    </row>
    <row r="54" spans="1:16" hidden="1">
      <c r="A54" t="s">
        <v>592</v>
      </c>
      <c r="B54" t="s">
        <v>1135</v>
      </c>
      <c r="D54" t="s">
        <v>1136</v>
      </c>
      <c r="E54" t="s">
        <v>1137</v>
      </c>
      <c r="F54">
        <v>8</v>
      </c>
      <c r="G54" t="s">
        <v>982</v>
      </c>
      <c r="I54">
        <v>11.4</v>
      </c>
      <c r="L54" t="s">
        <v>1138</v>
      </c>
      <c r="N54" t="s">
        <v>1418</v>
      </c>
      <c r="O54" t="s">
        <v>1419</v>
      </c>
      <c r="P54" t="s">
        <v>1409</v>
      </c>
    </row>
    <row r="55" spans="1:16" hidden="1">
      <c r="A55" t="s">
        <v>594</v>
      </c>
      <c r="B55" t="s">
        <v>1135</v>
      </c>
      <c r="D55" t="s">
        <v>1139</v>
      </c>
      <c r="E55" t="s">
        <v>1140</v>
      </c>
      <c r="F55">
        <v>8</v>
      </c>
      <c r="G55" t="s">
        <v>982</v>
      </c>
      <c r="I55">
        <v>3.1</v>
      </c>
      <c r="L55" t="s">
        <v>1138</v>
      </c>
      <c r="N55" t="s">
        <v>1418</v>
      </c>
      <c r="O55" t="s">
        <v>1419</v>
      </c>
      <c r="P55" t="s">
        <v>1409</v>
      </c>
    </row>
    <row r="56" spans="1:16" hidden="1">
      <c r="A56" t="s">
        <v>596</v>
      </c>
      <c r="B56" t="s">
        <v>1141</v>
      </c>
      <c r="D56" t="s">
        <v>1142</v>
      </c>
      <c r="E56" t="s">
        <v>1143</v>
      </c>
      <c r="F56">
        <v>8</v>
      </c>
      <c r="N56" t="s">
        <v>1418</v>
      </c>
      <c r="O56" t="s">
        <v>1419</v>
      </c>
      <c r="P56" t="s">
        <v>1409</v>
      </c>
    </row>
    <row r="57" spans="1:16" hidden="1">
      <c r="A57" t="s">
        <v>597</v>
      </c>
      <c r="B57" t="s">
        <v>1141</v>
      </c>
      <c r="D57" t="s">
        <v>1144</v>
      </c>
      <c r="E57" t="s">
        <v>1145</v>
      </c>
      <c r="F57">
        <v>8</v>
      </c>
      <c r="N57" t="s">
        <v>1418</v>
      </c>
      <c r="O57" t="s">
        <v>1419</v>
      </c>
      <c r="P57" t="s">
        <v>1409</v>
      </c>
    </row>
    <row r="58" spans="1:16" hidden="1">
      <c r="A58" t="s">
        <v>1146</v>
      </c>
      <c r="B58" t="s">
        <v>1147</v>
      </c>
      <c r="D58" t="s">
        <v>1148</v>
      </c>
      <c r="E58" t="s">
        <v>1147</v>
      </c>
      <c r="F58">
        <v>8</v>
      </c>
      <c r="G58" t="s">
        <v>1149</v>
      </c>
      <c r="I58">
        <v>9.52</v>
      </c>
      <c r="N58" t="s">
        <v>1420</v>
      </c>
    </row>
    <row r="59" spans="1:16" hidden="1">
      <c r="A59" t="s">
        <v>765</v>
      </c>
      <c r="B59" t="s">
        <v>1150</v>
      </c>
      <c r="C59" t="s">
        <v>1151</v>
      </c>
      <c r="D59" t="s">
        <v>1152</v>
      </c>
      <c r="E59" t="s">
        <v>1153</v>
      </c>
      <c r="F59">
        <v>4</v>
      </c>
      <c r="G59" t="s">
        <v>1040</v>
      </c>
      <c r="I59">
        <v>6.6</v>
      </c>
      <c r="M59" t="s">
        <v>765</v>
      </c>
      <c r="P59" t="s">
        <v>1409</v>
      </c>
    </row>
    <row r="60" spans="1:16" hidden="1">
      <c r="A60" t="s">
        <v>769</v>
      </c>
      <c r="B60" t="s">
        <v>1154</v>
      </c>
      <c r="C60" t="s">
        <v>1155</v>
      </c>
      <c r="D60" t="s">
        <v>1156</v>
      </c>
      <c r="E60" t="s">
        <v>1157</v>
      </c>
      <c r="G60" t="s">
        <v>311</v>
      </c>
      <c r="M60" t="s">
        <v>1158</v>
      </c>
    </row>
    <row r="61" spans="1:16" hidden="1">
      <c r="A61" t="s">
        <v>775</v>
      </c>
      <c r="B61" t="s">
        <v>1159</v>
      </c>
      <c r="C61" t="s">
        <v>1160</v>
      </c>
      <c r="D61" t="s">
        <v>1161</v>
      </c>
      <c r="E61" t="s">
        <v>1162</v>
      </c>
      <c r="F61">
        <v>8</v>
      </c>
      <c r="G61" t="s">
        <v>982</v>
      </c>
      <c r="M61" t="s">
        <v>775</v>
      </c>
      <c r="N61" t="s">
        <v>1421</v>
      </c>
      <c r="O61" t="s">
        <v>1422</v>
      </c>
      <c r="P61" t="s">
        <v>1423</v>
      </c>
    </row>
    <row r="62" spans="1:16" hidden="1">
      <c r="A62" t="s">
        <v>776</v>
      </c>
      <c r="B62" t="s">
        <v>1163</v>
      </c>
      <c r="C62" t="s">
        <v>1164</v>
      </c>
      <c r="D62" t="s">
        <v>1165</v>
      </c>
      <c r="E62" t="s">
        <v>1166</v>
      </c>
      <c r="F62">
        <v>4</v>
      </c>
      <c r="G62" t="s">
        <v>1040</v>
      </c>
      <c r="I62">
        <v>10.9</v>
      </c>
      <c r="M62" t="s">
        <v>776</v>
      </c>
      <c r="N62" t="s">
        <v>1421</v>
      </c>
      <c r="O62" t="s">
        <v>1422</v>
      </c>
      <c r="P62" t="s">
        <v>1423</v>
      </c>
    </row>
    <row r="63" spans="1:16" hidden="1">
      <c r="A63" t="s">
        <v>777</v>
      </c>
      <c r="B63" t="s">
        <v>1163</v>
      </c>
      <c r="C63" t="s">
        <v>1167</v>
      </c>
      <c r="D63" t="s">
        <v>1168</v>
      </c>
      <c r="E63" t="s">
        <v>1169</v>
      </c>
      <c r="F63">
        <v>8</v>
      </c>
      <c r="G63" t="s">
        <v>982</v>
      </c>
      <c r="I63">
        <v>15.8</v>
      </c>
      <c r="M63" t="s">
        <v>777</v>
      </c>
      <c r="N63" t="s">
        <v>1421</v>
      </c>
      <c r="O63" t="s">
        <v>1422</v>
      </c>
      <c r="P63" t="s">
        <v>1423</v>
      </c>
    </row>
    <row r="64" spans="1:16" hidden="1">
      <c r="A64" t="s">
        <v>1170</v>
      </c>
      <c r="B64" t="s">
        <v>1163</v>
      </c>
      <c r="C64" t="s">
        <v>1171</v>
      </c>
      <c r="D64" t="s">
        <v>1172</v>
      </c>
      <c r="E64" t="s">
        <v>1173</v>
      </c>
      <c r="F64">
        <v>4</v>
      </c>
      <c r="G64" t="s">
        <v>374</v>
      </c>
      <c r="I64">
        <v>83.7</v>
      </c>
      <c r="M64" t="s">
        <v>1170</v>
      </c>
      <c r="N64" t="s">
        <v>1421</v>
      </c>
      <c r="O64" t="s">
        <v>1422</v>
      </c>
      <c r="P64" t="s">
        <v>1423</v>
      </c>
    </row>
    <row r="65" spans="1:16" hidden="1">
      <c r="A65" t="s">
        <v>768</v>
      </c>
      <c r="B65" t="s">
        <v>1101</v>
      </c>
      <c r="D65" t="s">
        <v>1174</v>
      </c>
      <c r="E65" t="s">
        <v>1175</v>
      </c>
    </row>
    <row r="66" spans="1:16" hidden="1">
      <c r="A66" t="s">
        <v>1176</v>
      </c>
      <c r="B66" t="s">
        <v>1101</v>
      </c>
      <c r="D66" t="s">
        <v>1177</v>
      </c>
      <c r="E66" t="s">
        <v>1178</v>
      </c>
    </row>
    <row r="67" spans="1:16" hidden="1">
      <c r="A67" t="s">
        <v>772</v>
      </c>
      <c r="B67" t="s">
        <v>1179</v>
      </c>
      <c r="D67" t="s">
        <v>1180</v>
      </c>
      <c r="E67" t="s">
        <v>1181</v>
      </c>
    </row>
    <row r="68" spans="1:16" hidden="1">
      <c r="A68" t="s">
        <v>1182</v>
      </c>
      <c r="B68" t="s">
        <v>1150</v>
      </c>
      <c r="D68" t="s">
        <v>1183</v>
      </c>
      <c r="E68" t="s">
        <v>689</v>
      </c>
      <c r="P68" t="s">
        <v>1409</v>
      </c>
    </row>
    <row r="69" spans="1:16" hidden="1">
      <c r="A69" t="s">
        <v>766</v>
      </c>
      <c r="B69" t="s">
        <v>1184</v>
      </c>
      <c r="C69" t="s">
        <v>1185</v>
      </c>
      <c r="D69" t="s">
        <v>1186</v>
      </c>
      <c r="E69" t="s">
        <v>698</v>
      </c>
    </row>
    <row r="70" spans="1:16" hidden="1">
      <c r="A70" t="s">
        <v>731</v>
      </c>
      <c r="B70" t="s">
        <v>1078</v>
      </c>
      <c r="D70" t="s">
        <v>1187</v>
      </c>
      <c r="E70" t="s">
        <v>1082</v>
      </c>
      <c r="F70">
        <v>8</v>
      </c>
      <c r="G70" t="s">
        <v>995</v>
      </c>
      <c r="N70" t="s">
        <v>1414</v>
      </c>
      <c r="P70" t="s">
        <v>1409</v>
      </c>
    </row>
    <row r="71" spans="1:16" hidden="1">
      <c r="A71" t="s">
        <v>733</v>
      </c>
      <c r="B71" t="s">
        <v>1078</v>
      </c>
      <c r="D71" t="s">
        <v>1188</v>
      </c>
      <c r="E71" t="s">
        <v>1085</v>
      </c>
      <c r="F71">
        <v>8</v>
      </c>
      <c r="G71" t="s">
        <v>995</v>
      </c>
      <c r="N71" t="s">
        <v>1414</v>
      </c>
      <c r="P71" t="s">
        <v>1409</v>
      </c>
    </row>
    <row r="72" spans="1:16" hidden="1">
      <c r="A72" t="s">
        <v>736</v>
      </c>
      <c r="B72" t="s">
        <v>1078</v>
      </c>
      <c r="D72" t="s">
        <v>1189</v>
      </c>
      <c r="E72" t="s">
        <v>1109</v>
      </c>
      <c r="F72">
        <v>8</v>
      </c>
      <c r="G72" t="s">
        <v>1110</v>
      </c>
      <c r="N72" t="s">
        <v>1414</v>
      </c>
      <c r="P72" t="s">
        <v>1409</v>
      </c>
    </row>
    <row r="73" spans="1:16" hidden="1">
      <c r="A73" t="s">
        <v>739</v>
      </c>
      <c r="B73" t="s">
        <v>1078</v>
      </c>
      <c r="D73" t="s">
        <v>1190</v>
      </c>
      <c r="E73" t="s">
        <v>1114</v>
      </c>
      <c r="F73">
        <v>8</v>
      </c>
      <c r="G73" t="s">
        <v>982</v>
      </c>
      <c r="N73" t="s">
        <v>1414</v>
      </c>
      <c r="P73" t="s">
        <v>1409</v>
      </c>
    </row>
    <row r="74" spans="1:16" hidden="1">
      <c r="A74" t="s">
        <v>818</v>
      </c>
      <c r="B74" t="s">
        <v>1191</v>
      </c>
      <c r="D74" t="s">
        <v>1192</v>
      </c>
      <c r="E74" t="s">
        <v>1193</v>
      </c>
      <c r="F74">
        <v>8</v>
      </c>
      <c r="G74" t="s">
        <v>1194</v>
      </c>
      <c r="I74">
        <v>9.8000000000000007</v>
      </c>
      <c r="M74" t="s">
        <v>1195</v>
      </c>
      <c r="N74" t="s">
        <v>1418</v>
      </c>
      <c r="P74" t="s">
        <v>1409</v>
      </c>
    </row>
    <row r="75" spans="1:16" hidden="1">
      <c r="A75" t="s">
        <v>816</v>
      </c>
      <c r="D75" t="s">
        <v>1196</v>
      </c>
      <c r="E75" t="s">
        <v>825</v>
      </c>
      <c r="F75">
        <v>4</v>
      </c>
      <c r="G75" t="s">
        <v>311</v>
      </c>
    </row>
    <row r="76" spans="1:16" hidden="1">
      <c r="A76" t="s">
        <v>851</v>
      </c>
      <c r="B76" t="s">
        <v>1163</v>
      </c>
      <c r="C76" t="s">
        <v>1164</v>
      </c>
      <c r="D76" t="s">
        <v>1197</v>
      </c>
      <c r="E76" t="s">
        <v>1166</v>
      </c>
      <c r="F76">
        <v>4</v>
      </c>
      <c r="G76" t="s">
        <v>1040</v>
      </c>
      <c r="I76">
        <v>10.9</v>
      </c>
      <c r="N76" t="s">
        <v>1421</v>
      </c>
      <c r="O76" t="s">
        <v>1422</v>
      </c>
      <c r="P76" t="s">
        <v>1423</v>
      </c>
    </row>
    <row r="77" spans="1:16" hidden="1">
      <c r="A77" t="s">
        <v>832</v>
      </c>
      <c r="B77" t="s">
        <v>1163</v>
      </c>
      <c r="C77" t="s">
        <v>1167</v>
      </c>
      <c r="D77" t="s">
        <v>1198</v>
      </c>
      <c r="E77" t="s">
        <v>1169</v>
      </c>
      <c r="F77">
        <v>8</v>
      </c>
      <c r="G77" t="s">
        <v>982</v>
      </c>
      <c r="I77">
        <v>15.8</v>
      </c>
      <c r="N77" t="s">
        <v>1421</v>
      </c>
      <c r="O77" t="s">
        <v>1422</v>
      </c>
      <c r="P77" t="s">
        <v>1423</v>
      </c>
    </row>
    <row r="78" spans="1:16" hidden="1">
      <c r="A78" t="s">
        <v>847</v>
      </c>
      <c r="B78" t="s">
        <v>1199</v>
      </c>
      <c r="C78" t="s">
        <v>1200</v>
      </c>
      <c r="D78" t="s">
        <v>1201</v>
      </c>
      <c r="E78" t="s">
        <v>1202</v>
      </c>
      <c r="F78">
        <v>4</v>
      </c>
      <c r="G78" t="s">
        <v>982</v>
      </c>
      <c r="I78">
        <v>22.5</v>
      </c>
      <c r="J78">
        <v>7565546</v>
      </c>
      <c r="M78" t="s">
        <v>847</v>
      </c>
      <c r="N78" t="s">
        <v>1424</v>
      </c>
      <c r="O78" t="s">
        <v>1419</v>
      </c>
      <c r="P78" t="s">
        <v>1409</v>
      </c>
    </row>
    <row r="79" spans="1:16" hidden="1">
      <c r="A79" t="s">
        <v>849</v>
      </c>
      <c r="B79" t="s">
        <v>1199</v>
      </c>
      <c r="C79" t="s">
        <v>1203</v>
      </c>
      <c r="D79" t="s">
        <v>1204</v>
      </c>
      <c r="E79" t="s">
        <v>1205</v>
      </c>
      <c r="F79">
        <v>4</v>
      </c>
      <c r="G79" t="s">
        <v>982</v>
      </c>
      <c r="I79">
        <v>57.1</v>
      </c>
      <c r="J79">
        <v>7565547</v>
      </c>
      <c r="M79" t="s">
        <v>849</v>
      </c>
      <c r="N79" t="s">
        <v>1424</v>
      </c>
      <c r="O79" t="s">
        <v>1419</v>
      </c>
      <c r="P79" t="s">
        <v>1409</v>
      </c>
    </row>
    <row r="80" spans="1:16" hidden="1">
      <c r="A80" t="s">
        <v>1206</v>
      </c>
      <c r="D80" t="s">
        <v>1207</v>
      </c>
      <c r="E80" t="s">
        <v>1162</v>
      </c>
      <c r="F80">
        <v>8</v>
      </c>
      <c r="G80" t="s">
        <v>982</v>
      </c>
    </row>
    <row r="81" spans="1:16" hidden="1">
      <c r="A81" t="s">
        <v>874</v>
      </c>
      <c r="B81" t="s">
        <v>1208</v>
      </c>
      <c r="C81" t="s">
        <v>1208</v>
      </c>
      <c r="D81" t="s">
        <v>1209</v>
      </c>
      <c r="E81" t="s">
        <v>1210</v>
      </c>
      <c r="F81">
        <v>4</v>
      </c>
      <c r="G81" t="s">
        <v>982</v>
      </c>
    </row>
    <row r="82" spans="1:16" hidden="1">
      <c r="A82" t="s">
        <v>878</v>
      </c>
      <c r="D82" t="s">
        <v>1211</v>
      </c>
      <c r="E82" t="s">
        <v>1212</v>
      </c>
      <c r="F82">
        <v>4</v>
      </c>
      <c r="G82" t="s">
        <v>1040</v>
      </c>
    </row>
    <row r="83" spans="1:16" hidden="1">
      <c r="A83" t="s">
        <v>879</v>
      </c>
      <c r="B83" t="s">
        <v>1213</v>
      </c>
      <c r="C83" t="s">
        <v>1214</v>
      </c>
      <c r="D83" t="s">
        <v>1215</v>
      </c>
      <c r="E83" t="s">
        <v>1216</v>
      </c>
      <c r="F83">
        <v>8</v>
      </c>
      <c r="G83" t="s">
        <v>995</v>
      </c>
      <c r="I83">
        <v>13.9</v>
      </c>
      <c r="J83">
        <v>7567638</v>
      </c>
      <c r="M83" t="s">
        <v>879</v>
      </c>
      <c r="N83" t="s">
        <v>1425</v>
      </c>
      <c r="O83" t="s">
        <v>1419</v>
      </c>
      <c r="P83" t="s">
        <v>1409</v>
      </c>
    </row>
    <row r="84" spans="1:16" hidden="1">
      <c r="A84" t="s">
        <v>881</v>
      </c>
      <c r="B84" t="s">
        <v>1213</v>
      </c>
      <c r="C84" t="s">
        <v>1217</v>
      </c>
      <c r="D84" t="s">
        <v>1218</v>
      </c>
      <c r="E84" t="s">
        <v>1219</v>
      </c>
      <c r="F84">
        <v>8</v>
      </c>
      <c r="G84" t="s">
        <v>1040</v>
      </c>
      <c r="I84">
        <v>7.5</v>
      </c>
      <c r="J84">
        <v>7567638</v>
      </c>
      <c r="M84" t="s">
        <v>881</v>
      </c>
      <c r="N84" t="s">
        <v>1425</v>
      </c>
      <c r="O84" t="s">
        <v>1419</v>
      </c>
      <c r="P84" t="s">
        <v>1409</v>
      </c>
    </row>
    <row r="85" spans="1:16" hidden="1">
      <c r="A85" t="s">
        <v>884</v>
      </c>
      <c r="B85" t="s">
        <v>1220</v>
      </c>
      <c r="C85" t="s">
        <v>1221</v>
      </c>
      <c r="D85" t="s">
        <v>1222</v>
      </c>
      <c r="E85" t="s">
        <v>1223</v>
      </c>
      <c r="F85">
        <v>8</v>
      </c>
      <c r="G85" t="s">
        <v>487</v>
      </c>
      <c r="J85">
        <v>7570769</v>
      </c>
      <c r="M85" t="s">
        <v>1224</v>
      </c>
    </row>
    <row r="86" spans="1:16" hidden="1">
      <c r="A86" t="s">
        <v>887</v>
      </c>
      <c r="B86" t="s">
        <v>1220</v>
      </c>
      <c r="C86" t="s">
        <v>1225</v>
      </c>
      <c r="D86" t="s">
        <v>1226</v>
      </c>
      <c r="E86" t="s">
        <v>1227</v>
      </c>
      <c r="F86">
        <v>8</v>
      </c>
      <c r="G86" t="s">
        <v>1040</v>
      </c>
      <c r="J86">
        <v>7570769</v>
      </c>
      <c r="M86" t="s">
        <v>1224</v>
      </c>
    </row>
    <row r="87" spans="1:16" hidden="1">
      <c r="A87" t="s">
        <v>1228</v>
      </c>
      <c r="B87" t="s">
        <v>1229</v>
      </c>
      <c r="C87" t="s">
        <v>1230</v>
      </c>
      <c r="D87" t="s">
        <v>1468</v>
      </c>
      <c r="E87" t="s">
        <v>1231</v>
      </c>
      <c r="F87">
        <v>4</v>
      </c>
      <c r="G87" t="s">
        <v>995</v>
      </c>
      <c r="I87">
        <v>12.6</v>
      </c>
      <c r="J87">
        <v>7568343</v>
      </c>
      <c r="M87" t="s">
        <v>1232</v>
      </c>
      <c r="N87" t="s">
        <v>1426</v>
      </c>
      <c r="O87" t="s">
        <v>1408</v>
      </c>
      <c r="P87" t="s">
        <v>1423</v>
      </c>
    </row>
    <row r="88" spans="1:16" hidden="1">
      <c r="A88" t="s">
        <v>912</v>
      </c>
      <c r="B88" t="s">
        <v>1229</v>
      </c>
      <c r="C88" t="s">
        <v>1230</v>
      </c>
      <c r="D88" t="s">
        <v>1233</v>
      </c>
      <c r="E88" t="s">
        <v>1231</v>
      </c>
      <c r="F88">
        <v>4</v>
      </c>
      <c r="G88" t="s">
        <v>995</v>
      </c>
      <c r="I88">
        <v>12.6</v>
      </c>
      <c r="J88">
        <v>7568343</v>
      </c>
      <c r="M88" t="s">
        <v>1232</v>
      </c>
      <c r="N88" t="s">
        <v>1426</v>
      </c>
      <c r="O88" t="s">
        <v>1408</v>
      </c>
      <c r="P88" t="s">
        <v>1423</v>
      </c>
    </row>
    <row r="89" spans="1:16" hidden="1">
      <c r="A89" t="s">
        <v>1234</v>
      </c>
      <c r="B89" t="s">
        <v>1229</v>
      </c>
      <c r="C89" t="s">
        <v>1235</v>
      </c>
      <c r="D89" t="s">
        <v>1236</v>
      </c>
      <c r="E89" t="s">
        <v>1237</v>
      </c>
      <c r="F89">
        <v>4</v>
      </c>
      <c r="G89" t="s">
        <v>995</v>
      </c>
      <c r="I89">
        <v>2.1</v>
      </c>
      <c r="J89">
        <v>7568343</v>
      </c>
      <c r="M89" t="s">
        <v>1238</v>
      </c>
      <c r="N89" t="s">
        <v>1426</v>
      </c>
      <c r="O89" t="s">
        <v>1408</v>
      </c>
      <c r="P89" t="s">
        <v>1423</v>
      </c>
    </row>
    <row r="90" spans="1:16" hidden="1">
      <c r="A90" t="s">
        <v>914</v>
      </c>
      <c r="B90" t="s">
        <v>1229</v>
      </c>
      <c r="C90" t="s">
        <v>1235</v>
      </c>
      <c r="D90" t="s">
        <v>1239</v>
      </c>
      <c r="E90" t="s">
        <v>1237</v>
      </c>
      <c r="F90">
        <v>4</v>
      </c>
      <c r="G90" t="s">
        <v>995</v>
      </c>
      <c r="I90">
        <v>2.1</v>
      </c>
      <c r="J90">
        <v>7568343</v>
      </c>
      <c r="M90" t="s">
        <v>1238</v>
      </c>
      <c r="N90" t="s">
        <v>1426</v>
      </c>
      <c r="O90" t="s">
        <v>1408</v>
      </c>
      <c r="P90" t="s">
        <v>1423</v>
      </c>
    </row>
    <row r="91" spans="1:16" hidden="1">
      <c r="A91" t="s">
        <v>915</v>
      </c>
      <c r="B91" t="s">
        <v>1229</v>
      </c>
      <c r="C91" t="s">
        <v>1240</v>
      </c>
      <c r="D91" t="s">
        <v>1241</v>
      </c>
      <c r="E91" t="s">
        <v>1242</v>
      </c>
      <c r="F91">
        <v>4</v>
      </c>
      <c r="G91" t="s">
        <v>982</v>
      </c>
      <c r="I91">
        <v>5.5</v>
      </c>
      <c r="J91">
        <v>7568343</v>
      </c>
      <c r="M91" t="s">
        <v>915</v>
      </c>
      <c r="N91" t="s">
        <v>1426</v>
      </c>
      <c r="O91" t="s">
        <v>1408</v>
      </c>
      <c r="P91" t="s">
        <v>1423</v>
      </c>
    </row>
    <row r="92" spans="1:16">
      <c r="A92" t="s">
        <v>1243</v>
      </c>
      <c r="B92" t="s">
        <v>1244</v>
      </c>
      <c r="C92" t="s">
        <v>1245</v>
      </c>
      <c r="D92" t="s">
        <v>1246</v>
      </c>
      <c r="E92" t="s">
        <v>1247</v>
      </c>
      <c r="G92" t="s">
        <v>1248</v>
      </c>
      <c r="H92" t="s">
        <v>1249</v>
      </c>
      <c r="I92">
        <v>182</v>
      </c>
      <c r="J92">
        <v>7567053</v>
      </c>
      <c r="N92" t="s">
        <v>1427</v>
      </c>
      <c r="O92" t="s">
        <v>1419</v>
      </c>
      <c r="P92" t="s">
        <v>1417</v>
      </c>
    </row>
    <row r="93" spans="1:16">
      <c r="A93" t="s">
        <v>934</v>
      </c>
      <c r="B93" t="s">
        <v>1244</v>
      </c>
      <c r="C93" t="s">
        <v>1250</v>
      </c>
      <c r="D93" t="s">
        <v>1251</v>
      </c>
      <c r="E93" t="s">
        <v>1252</v>
      </c>
      <c r="F93">
        <v>2</v>
      </c>
      <c r="G93" t="s">
        <v>1253</v>
      </c>
      <c r="I93">
        <v>25.2</v>
      </c>
      <c r="J93">
        <v>7567053</v>
      </c>
      <c r="M93" t="s">
        <v>934</v>
      </c>
      <c r="N93" t="s">
        <v>1427</v>
      </c>
      <c r="O93" t="s">
        <v>1419</v>
      </c>
      <c r="P93" t="s">
        <v>1417</v>
      </c>
    </row>
    <row r="94" spans="1:16">
      <c r="A94" t="s">
        <v>1254</v>
      </c>
      <c r="B94" t="s">
        <v>1244</v>
      </c>
      <c r="D94" t="s">
        <v>1246</v>
      </c>
      <c r="E94" t="s">
        <v>1255</v>
      </c>
      <c r="G94" t="s">
        <v>1256</v>
      </c>
      <c r="J94">
        <v>7567053</v>
      </c>
      <c r="N94" t="s">
        <v>1427</v>
      </c>
      <c r="O94" t="s">
        <v>1419</v>
      </c>
      <c r="P94" t="s">
        <v>1417</v>
      </c>
    </row>
    <row r="95" spans="1:16">
      <c r="A95" t="s">
        <v>935</v>
      </c>
      <c r="B95" t="s">
        <v>1244</v>
      </c>
      <c r="C95" t="s">
        <v>1257</v>
      </c>
      <c r="D95" t="s">
        <v>1258</v>
      </c>
      <c r="E95" t="s">
        <v>1259</v>
      </c>
      <c r="F95">
        <v>2</v>
      </c>
      <c r="G95" t="s">
        <v>995</v>
      </c>
      <c r="I95">
        <v>3.6</v>
      </c>
      <c r="J95">
        <v>7567053</v>
      </c>
      <c r="M95" t="s">
        <v>935</v>
      </c>
      <c r="N95" t="s">
        <v>1427</v>
      </c>
      <c r="O95" t="s">
        <v>1419</v>
      </c>
      <c r="P95" t="s">
        <v>1417</v>
      </c>
    </row>
    <row r="96" spans="1:16">
      <c r="A96" t="s">
        <v>936</v>
      </c>
      <c r="B96" t="s">
        <v>1244</v>
      </c>
      <c r="C96" t="s">
        <v>1260</v>
      </c>
      <c r="D96" t="s">
        <v>1261</v>
      </c>
      <c r="E96" t="s">
        <v>1262</v>
      </c>
      <c r="F96">
        <v>2</v>
      </c>
      <c r="G96" t="s">
        <v>484</v>
      </c>
      <c r="I96">
        <v>4.8</v>
      </c>
      <c r="J96">
        <v>7567054</v>
      </c>
      <c r="M96" t="s">
        <v>936</v>
      </c>
      <c r="N96" t="s">
        <v>1427</v>
      </c>
      <c r="O96" t="s">
        <v>1419</v>
      </c>
      <c r="P96" t="s">
        <v>1417</v>
      </c>
    </row>
    <row r="97" spans="1:16">
      <c r="A97" t="s">
        <v>1263</v>
      </c>
      <c r="B97" t="s">
        <v>1244</v>
      </c>
      <c r="C97" t="s">
        <v>1264</v>
      </c>
      <c r="E97" t="s">
        <v>1265</v>
      </c>
      <c r="F97">
        <v>2</v>
      </c>
      <c r="G97" t="s">
        <v>1266</v>
      </c>
      <c r="J97">
        <v>7567056</v>
      </c>
      <c r="M97" t="s">
        <v>937</v>
      </c>
      <c r="N97" t="s">
        <v>1427</v>
      </c>
      <c r="O97" t="s">
        <v>1419</v>
      </c>
      <c r="P97" t="s">
        <v>1417</v>
      </c>
    </row>
    <row r="98" spans="1:16">
      <c r="A98" t="s">
        <v>937</v>
      </c>
      <c r="B98" t="s">
        <v>1244</v>
      </c>
      <c r="C98" t="s">
        <v>1264</v>
      </c>
      <c r="D98" t="s">
        <v>1267</v>
      </c>
      <c r="E98" t="s">
        <v>1265</v>
      </c>
      <c r="F98">
        <v>2</v>
      </c>
      <c r="G98" t="s">
        <v>995</v>
      </c>
      <c r="I98">
        <v>12.3</v>
      </c>
      <c r="J98">
        <v>7567056</v>
      </c>
      <c r="M98" t="s">
        <v>937</v>
      </c>
      <c r="N98" t="s">
        <v>1427</v>
      </c>
      <c r="O98" t="s">
        <v>1419</v>
      </c>
      <c r="P98" t="s">
        <v>1417</v>
      </c>
    </row>
    <row r="99" spans="1:16">
      <c r="A99" t="s">
        <v>938</v>
      </c>
      <c r="B99" t="s">
        <v>1244</v>
      </c>
      <c r="C99" t="s">
        <v>1268</v>
      </c>
      <c r="D99" t="s">
        <v>1269</v>
      </c>
      <c r="E99" t="s">
        <v>1270</v>
      </c>
      <c r="F99">
        <v>2</v>
      </c>
      <c r="G99" t="s">
        <v>982</v>
      </c>
      <c r="I99">
        <v>15</v>
      </c>
      <c r="J99">
        <v>7567056</v>
      </c>
      <c r="M99" t="s">
        <v>938</v>
      </c>
      <c r="N99" t="s">
        <v>1427</v>
      </c>
      <c r="O99" t="s">
        <v>1419</v>
      </c>
      <c r="P99" t="s">
        <v>1417</v>
      </c>
    </row>
    <row r="100" spans="1:16">
      <c r="A100" t="s">
        <v>939</v>
      </c>
      <c r="B100" t="s">
        <v>1244</v>
      </c>
      <c r="C100" t="s">
        <v>1271</v>
      </c>
      <c r="D100" t="s">
        <v>1272</v>
      </c>
      <c r="E100" t="s">
        <v>1273</v>
      </c>
      <c r="F100">
        <v>2</v>
      </c>
      <c r="G100" t="s">
        <v>487</v>
      </c>
      <c r="I100">
        <v>121.4</v>
      </c>
      <c r="J100">
        <v>7567057</v>
      </c>
      <c r="M100" t="s">
        <v>939</v>
      </c>
      <c r="N100" t="s">
        <v>1427</v>
      </c>
      <c r="O100" t="s">
        <v>1419</v>
      </c>
      <c r="P100" t="s">
        <v>1417</v>
      </c>
    </row>
    <row r="101" spans="1:16">
      <c r="A101" t="s">
        <v>1274</v>
      </c>
      <c r="B101" t="s">
        <v>1244</v>
      </c>
      <c r="C101" t="s">
        <v>1275</v>
      </c>
      <c r="E101" t="s">
        <v>1276</v>
      </c>
      <c r="F101">
        <v>2</v>
      </c>
      <c r="G101" t="s">
        <v>1277</v>
      </c>
      <c r="J101">
        <v>7567057</v>
      </c>
      <c r="N101" t="s">
        <v>1427</v>
      </c>
      <c r="O101" t="s">
        <v>1419</v>
      </c>
      <c r="P101" t="s">
        <v>1417</v>
      </c>
    </row>
    <row r="102" spans="1:16">
      <c r="A102" t="s">
        <v>940</v>
      </c>
      <c r="B102" t="s">
        <v>1244</v>
      </c>
      <c r="C102" t="s">
        <v>1275</v>
      </c>
      <c r="D102" t="s">
        <v>1278</v>
      </c>
      <c r="E102" t="s">
        <v>1276</v>
      </c>
      <c r="F102">
        <v>2</v>
      </c>
      <c r="G102" t="s">
        <v>995</v>
      </c>
      <c r="I102">
        <v>17.5</v>
      </c>
      <c r="J102">
        <v>7567057</v>
      </c>
      <c r="M102" t="s">
        <v>1279</v>
      </c>
      <c r="N102" t="s">
        <v>1427</v>
      </c>
      <c r="O102" t="s">
        <v>1419</v>
      </c>
      <c r="P102" t="s">
        <v>1417</v>
      </c>
    </row>
    <row r="103" spans="1:16">
      <c r="A103" t="s">
        <v>1280</v>
      </c>
      <c r="B103" t="s">
        <v>1244</v>
      </c>
      <c r="E103" t="s">
        <v>1255</v>
      </c>
      <c r="H103" t="s">
        <v>1281</v>
      </c>
      <c r="J103">
        <v>7567057</v>
      </c>
      <c r="N103" t="s">
        <v>1427</v>
      </c>
      <c r="O103" t="s">
        <v>1419</v>
      </c>
      <c r="P103" t="s">
        <v>1417</v>
      </c>
    </row>
    <row r="104" spans="1:16">
      <c r="A104" t="s">
        <v>1282</v>
      </c>
      <c r="B104" t="s">
        <v>1244</v>
      </c>
      <c r="E104" t="s">
        <v>1255</v>
      </c>
      <c r="H104" t="s">
        <v>1281</v>
      </c>
      <c r="J104">
        <v>7567057</v>
      </c>
      <c r="N104" t="s">
        <v>1427</v>
      </c>
      <c r="O104" t="s">
        <v>1419</v>
      </c>
      <c r="P104" t="s">
        <v>1417</v>
      </c>
    </row>
    <row r="105" spans="1:16">
      <c r="A105" t="s">
        <v>1283</v>
      </c>
      <c r="B105" t="s">
        <v>1244</v>
      </c>
      <c r="C105" t="s">
        <v>1284</v>
      </c>
      <c r="D105" t="s">
        <v>1246</v>
      </c>
      <c r="E105" t="s">
        <v>1285</v>
      </c>
      <c r="F105">
        <v>1</v>
      </c>
      <c r="J105">
        <v>7567057</v>
      </c>
      <c r="N105" t="s">
        <v>1427</v>
      </c>
      <c r="O105" t="s">
        <v>1419</v>
      </c>
      <c r="P105" t="s">
        <v>1417</v>
      </c>
    </row>
    <row r="106" spans="1:16">
      <c r="A106" t="s">
        <v>1286</v>
      </c>
      <c r="B106" t="s">
        <v>1244</v>
      </c>
      <c r="C106" t="s">
        <v>1287</v>
      </c>
      <c r="E106" t="s">
        <v>1288</v>
      </c>
      <c r="F106">
        <v>2</v>
      </c>
      <c r="G106" t="s">
        <v>1266</v>
      </c>
      <c r="J106">
        <v>7567057</v>
      </c>
      <c r="M106" t="s">
        <v>1289</v>
      </c>
      <c r="N106" t="s">
        <v>1427</v>
      </c>
      <c r="O106" t="s">
        <v>1419</v>
      </c>
      <c r="P106" t="s">
        <v>1417</v>
      </c>
    </row>
    <row r="107" spans="1:16">
      <c r="A107" t="s">
        <v>941</v>
      </c>
      <c r="B107" t="s">
        <v>1244</v>
      </c>
      <c r="C107" t="s">
        <v>1287</v>
      </c>
      <c r="D107" t="s">
        <v>1290</v>
      </c>
      <c r="E107" t="s">
        <v>1288</v>
      </c>
      <c r="F107">
        <v>2</v>
      </c>
      <c r="G107" t="s">
        <v>995</v>
      </c>
      <c r="I107">
        <v>12.5</v>
      </c>
      <c r="J107">
        <v>7567057</v>
      </c>
      <c r="M107" t="s">
        <v>1289</v>
      </c>
      <c r="N107" t="s">
        <v>1427</v>
      </c>
      <c r="O107" t="s">
        <v>1419</v>
      </c>
      <c r="P107" t="s">
        <v>1417</v>
      </c>
    </row>
    <row r="108" spans="1:16">
      <c r="A108" t="s">
        <v>1291</v>
      </c>
      <c r="B108" t="s">
        <v>1244</v>
      </c>
      <c r="E108" t="s">
        <v>1255</v>
      </c>
      <c r="H108" t="s">
        <v>986</v>
      </c>
      <c r="J108">
        <v>7567061</v>
      </c>
      <c r="N108" t="s">
        <v>1427</v>
      </c>
      <c r="O108" t="s">
        <v>1419</v>
      </c>
      <c r="P108" t="s">
        <v>1417</v>
      </c>
    </row>
    <row r="109" spans="1:16">
      <c r="A109" t="s">
        <v>1292</v>
      </c>
      <c r="B109" t="s">
        <v>1244</v>
      </c>
      <c r="C109" t="s">
        <v>1293</v>
      </c>
      <c r="E109" t="s">
        <v>1294</v>
      </c>
      <c r="F109">
        <v>4</v>
      </c>
      <c r="G109" t="s">
        <v>1295</v>
      </c>
      <c r="J109">
        <v>7567072</v>
      </c>
      <c r="N109" t="s">
        <v>1427</v>
      </c>
      <c r="O109" t="s">
        <v>1419</v>
      </c>
      <c r="P109" t="s">
        <v>1417</v>
      </c>
    </row>
    <row r="110" spans="1:16">
      <c r="A110" t="s">
        <v>1296</v>
      </c>
      <c r="B110" t="s">
        <v>1244</v>
      </c>
      <c r="C110" t="s">
        <v>1297</v>
      </c>
      <c r="E110" t="s">
        <v>1298</v>
      </c>
      <c r="F110">
        <v>4</v>
      </c>
      <c r="G110" t="s">
        <v>1277</v>
      </c>
      <c r="J110">
        <v>7567072</v>
      </c>
      <c r="M110" t="s">
        <v>1299</v>
      </c>
      <c r="N110" t="s">
        <v>1427</v>
      </c>
      <c r="O110" t="s">
        <v>1419</v>
      </c>
      <c r="P110" t="s">
        <v>1417</v>
      </c>
    </row>
    <row r="111" spans="1:16">
      <c r="A111" t="s">
        <v>942</v>
      </c>
      <c r="B111" t="s">
        <v>1244</v>
      </c>
      <c r="C111" t="s">
        <v>1297</v>
      </c>
      <c r="D111" t="s">
        <v>1300</v>
      </c>
      <c r="E111" t="s">
        <v>1298</v>
      </c>
      <c r="F111">
        <v>4</v>
      </c>
      <c r="G111" t="s">
        <v>995</v>
      </c>
      <c r="I111">
        <v>2.6</v>
      </c>
      <c r="J111">
        <v>7567072</v>
      </c>
      <c r="M111" t="s">
        <v>1299</v>
      </c>
      <c r="N111" t="s">
        <v>1427</v>
      </c>
      <c r="O111" t="s">
        <v>1419</v>
      </c>
      <c r="P111" t="s">
        <v>1417</v>
      </c>
    </row>
    <row r="112" spans="1:16">
      <c r="A112" t="s">
        <v>1301</v>
      </c>
      <c r="B112" t="s">
        <v>1302</v>
      </c>
      <c r="C112" t="s">
        <v>1303</v>
      </c>
      <c r="D112" t="s">
        <v>1304</v>
      </c>
      <c r="E112" t="s">
        <v>1305</v>
      </c>
      <c r="G112" t="s">
        <v>1306</v>
      </c>
      <c r="H112" t="s">
        <v>1249</v>
      </c>
      <c r="J112">
        <v>7569661</v>
      </c>
      <c r="L112" t="s">
        <v>1307</v>
      </c>
      <c r="N112" t="s">
        <v>1427</v>
      </c>
      <c r="O112" t="s">
        <v>1419</v>
      </c>
      <c r="P112" t="s">
        <v>1417</v>
      </c>
    </row>
    <row r="113" spans="1:16">
      <c r="A113" t="s">
        <v>943</v>
      </c>
      <c r="B113" t="s">
        <v>1302</v>
      </c>
      <c r="C113" t="s">
        <v>1308</v>
      </c>
      <c r="D113" t="s">
        <v>1309</v>
      </c>
      <c r="E113" t="s">
        <v>1310</v>
      </c>
      <c r="F113">
        <v>2</v>
      </c>
      <c r="G113" t="s">
        <v>487</v>
      </c>
      <c r="J113">
        <v>7569661</v>
      </c>
      <c r="M113" t="s">
        <v>943</v>
      </c>
      <c r="N113" t="s">
        <v>1427</v>
      </c>
      <c r="O113" t="s">
        <v>1419</v>
      </c>
      <c r="P113" t="s">
        <v>1417</v>
      </c>
    </row>
    <row r="114" spans="1:16">
      <c r="A114" t="s">
        <v>1311</v>
      </c>
      <c r="B114" t="s">
        <v>1302</v>
      </c>
      <c r="G114" t="s">
        <v>1312</v>
      </c>
      <c r="J114">
        <v>7569661</v>
      </c>
      <c r="N114" t="s">
        <v>1427</v>
      </c>
      <c r="O114" t="s">
        <v>1419</v>
      </c>
      <c r="P114" t="s">
        <v>1417</v>
      </c>
    </row>
    <row r="115" spans="1:16" hidden="1">
      <c r="A115" t="s">
        <v>1313</v>
      </c>
      <c r="B115" t="s">
        <v>1314</v>
      </c>
      <c r="C115" t="s">
        <v>1315</v>
      </c>
      <c r="E115" t="s">
        <v>1316</v>
      </c>
      <c r="F115">
        <v>4</v>
      </c>
      <c r="G115" t="s">
        <v>1317</v>
      </c>
      <c r="J115">
        <v>7569568</v>
      </c>
      <c r="M115" t="s">
        <v>930</v>
      </c>
      <c r="N115" t="s">
        <v>1427</v>
      </c>
      <c r="O115" t="s">
        <v>1419</v>
      </c>
      <c r="P115" t="s">
        <v>1409</v>
      </c>
    </row>
    <row r="116" spans="1:16" hidden="1">
      <c r="A116" t="s">
        <v>1318</v>
      </c>
      <c r="B116" t="s">
        <v>1314</v>
      </c>
      <c r="C116" t="s">
        <v>1315</v>
      </c>
      <c r="E116" t="s">
        <v>1316</v>
      </c>
      <c r="F116">
        <v>4</v>
      </c>
      <c r="G116" t="s">
        <v>1317</v>
      </c>
      <c r="J116">
        <v>7569568</v>
      </c>
      <c r="M116" t="s">
        <v>930</v>
      </c>
      <c r="N116" t="s">
        <v>1427</v>
      </c>
      <c r="O116" t="s">
        <v>1419</v>
      </c>
      <c r="P116" t="s">
        <v>1409</v>
      </c>
    </row>
    <row r="117" spans="1:16" hidden="1">
      <c r="A117" t="s">
        <v>930</v>
      </c>
      <c r="B117" t="s">
        <v>1314</v>
      </c>
      <c r="C117" t="s">
        <v>1315</v>
      </c>
      <c r="D117" t="s">
        <v>1319</v>
      </c>
      <c r="E117" t="s">
        <v>1316</v>
      </c>
      <c r="F117">
        <v>4</v>
      </c>
      <c r="G117" t="s">
        <v>995</v>
      </c>
      <c r="I117">
        <v>22</v>
      </c>
      <c r="J117">
        <v>7569568</v>
      </c>
      <c r="M117" t="s">
        <v>930</v>
      </c>
      <c r="N117" t="s">
        <v>1427</v>
      </c>
      <c r="O117" t="s">
        <v>1419</v>
      </c>
      <c r="P117" t="s">
        <v>1409</v>
      </c>
    </row>
    <row r="118" spans="1:16" hidden="1">
      <c r="A118" t="s">
        <v>931</v>
      </c>
      <c r="B118" t="s">
        <v>1314</v>
      </c>
      <c r="C118" t="s">
        <v>1320</v>
      </c>
      <c r="D118" t="s">
        <v>1321</v>
      </c>
      <c r="E118" t="s">
        <v>1322</v>
      </c>
      <c r="F118">
        <v>4</v>
      </c>
      <c r="G118" t="s">
        <v>1323</v>
      </c>
      <c r="I118">
        <v>7.9</v>
      </c>
      <c r="J118">
        <v>7569568</v>
      </c>
      <c r="M118" t="s">
        <v>931</v>
      </c>
      <c r="N118" t="s">
        <v>1427</v>
      </c>
      <c r="O118" t="s">
        <v>1419</v>
      </c>
      <c r="P118" t="s">
        <v>1409</v>
      </c>
    </row>
    <row r="119" spans="1:16" hidden="1">
      <c r="A119" t="s">
        <v>1324</v>
      </c>
      <c r="B119" t="s">
        <v>1314</v>
      </c>
      <c r="E119" t="s">
        <v>1255</v>
      </c>
      <c r="G119" t="s">
        <v>1325</v>
      </c>
      <c r="J119">
        <v>7569568</v>
      </c>
      <c r="N119" t="s">
        <v>1427</v>
      </c>
      <c r="O119" t="s">
        <v>1419</v>
      </c>
      <c r="P119" t="s">
        <v>1409</v>
      </c>
    </row>
    <row r="120" spans="1:16" hidden="1">
      <c r="A120" t="s">
        <v>929</v>
      </c>
      <c r="B120" t="s">
        <v>1314</v>
      </c>
      <c r="C120" t="s">
        <v>1326</v>
      </c>
      <c r="D120" t="s">
        <v>1327</v>
      </c>
      <c r="E120" t="s">
        <v>1328</v>
      </c>
      <c r="F120">
        <v>4</v>
      </c>
      <c r="G120" t="s">
        <v>484</v>
      </c>
      <c r="I120">
        <v>1.74</v>
      </c>
      <c r="J120">
        <v>7569570</v>
      </c>
      <c r="M120" t="s">
        <v>929</v>
      </c>
      <c r="N120" t="s">
        <v>1427</v>
      </c>
      <c r="O120" t="s">
        <v>1419</v>
      </c>
      <c r="P120" t="s">
        <v>1409</v>
      </c>
    </row>
    <row r="121" spans="1:16" hidden="1">
      <c r="A121" t="s">
        <v>932</v>
      </c>
      <c r="B121" t="s">
        <v>1314</v>
      </c>
      <c r="C121" t="s">
        <v>1329</v>
      </c>
      <c r="D121" t="s">
        <v>1330</v>
      </c>
      <c r="E121" t="s">
        <v>1331</v>
      </c>
      <c r="F121">
        <v>4</v>
      </c>
      <c r="G121" t="s">
        <v>982</v>
      </c>
      <c r="I121">
        <v>9.4</v>
      </c>
      <c r="J121">
        <v>7569569</v>
      </c>
      <c r="M121" t="s">
        <v>932</v>
      </c>
      <c r="N121" t="s">
        <v>1427</v>
      </c>
      <c r="O121" t="s">
        <v>1419</v>
      </c>
      <c r="P121" t="s">
        <v>1409</v>
      </c>
    </row>
    <row r="122" spans="1:16" hidden="1">
      <c r="A122" t="s">
        <v>1332</v>
      </c>
      <c r="B122" t="s">
        <v>1314</v>
      </c>
      <c r="C122" t="s">
        <v>1333</v>
      </c>
      <c r="E122" t="s">
        <v>1334</v>
      </c>
      <c r="F122">
        <v>4</v>
      </c>
      <c r="G122" t="s">
        <v>1277</v>
      </c>
      <c r="J122">
        <v>7569569</v>
      </c>
      <c r="M122" t="s">
        <v>933</v>
      </c>
      <c r="N122" t="s">
        <v>1427</v>
      </c>
      <c r="O122" t="s">
        <v>1419</v>
      </c>
      <c r="P122" t="s">
        <v>1409</v>
      </c>
    </row>
    <row r="123" spans="1:16" hidden="1">
      <c r="A123" t="s">
        <v>933</v>
      </c>
      <c r="B123" t="s">
        <v>1314</v>
      </c>
      <c r="C123" t="s">
        <v>1333</v>
      </c>
      <c r="D123" t="s">
        <v>1335</v>
      </c>
      <c r="E123" t="s">
        <v>1334</v>
      </c>
      <c r="F123">
        <v>4</v>
      </c>
      <c r="G123" t="s">
        <v>995</v>
      </c>
      <c r="I123">
        <v>9.5</v>
      </c>
      <c r="J123">
        <v>7569569</v>
      </c>
      <c r="M123" t="s">
        <v>933</v>
      </c>
      <c r="N123" t="s">
        <v>1427</v>
      </c>
      <c r="O123" t="s">
        <v>1419</v>
      </c>
      <c r="P123" t="s">
        <v>1409</v>
      </c>
    </row>
    <row r="124" spans="1:16" hidden="1">
      <c r="A124" t="s">
        <v>1336</v>
      </c>
      <c r="B124" t="s">
        <v>1314</v>
      </c>
      <c r="G124" t="s">
        <v>1337</v>
      </c>
      <c r="H124" t="s">
        <v>1281</v>
      </c>
      <c r="J124">
        <v>7569569</v>
      </c>
      <c r="N124" t="s">
        <v>1427</v>
      </c>
      <c r="O124" t="s">
        <v>1419</v>
      </c>
      <c r="P124" t="s">
        <v>1409</v>
      </c>
    </row>
    <row r="125" spans="1:16" hidden="1">
      <c r="A125" t="s">
        <v>1338</v>
      </c>
      <c r="B125" t="s">
        <v>1314</v>
      </c>
      <c r="H125" t="s">
        <v>986</v>
      </c>
      <c r="J125">
        <v>7569571</v>
      </c>
      <c r="N125" t="s">
        <v>1427</v>
      </c>
      <c r="O125" t="s">
        <v>1419</v>
      </c>
      <c r="P125" t="s">
        <v>1409</v>
      </c>
    </row>
    <row r="126" spans="1:16" hidden="1">
      <c r="A126" t="s">
        <v>1339</v>
      </c>
      <c r="B126" t="s">
        <v>1340</v>
      </c>
      <c r="C126" t="s">
        <v>1341</v>
      </c>
      <c r="E126" t="s">
        <v>1342</v>
      </c>
      <c r="F126">
        <v>4</v>
      </c>
      <c r="G126" t="s">
        <v>1343</v>
      </c>
      <c r="J126">
        <v>7569597</v>
      </c>
      <c r="M126" t="s">
        <v>1344</v>
      </c>
      <c r="N126" t="s">
        <v>1427</v>
      </c>
      <c r="O126" t="s">
        <v>1419</v>
      </c>
      <c r="P126" t="s">
        <v>1409</v>
      </c>
    </row>
    <row r="127" spans="1:16" hidden="1">
      <c r="A127" t="s">
        <v>1345</v>
      </c>
      <c r="B127" t="s">
        <v>1340</v>
      </c>
      <c r="C127" t="s">
        <v>1341</v>
      </c>
      <c r="D127" t="s">
        <v>1469</v>
      </c>
      <c r="E127" t="s">
        <v>1342</v>
      </c>
      <c r="F127">
        <v>4</v>
      </c>
      <c r="G127" t="s">
        <v>1346</v>
      </c>
      <c r="J127">
        <v>7569597</v>
      </c>
      <c r="M127" t="s">
        <v>1344</v>
      </c>
      <c r="N127" t="s">
        <v>1427</v>
      </c>
      <c r="O127" t="s">
        <v>1419</v>
      </c>
      <c r="P127" t="s">
        <v>1409</v>
      </c>
    </row>
    <row r="128" spans="1:16" hidden="1">
      <c r="A128" t="s">
        <v>1344</v>
      </c>
      <c r="B128" t="s">
        <v>1340</v>
      </c>
      <c r="C128" t="s">
        <v>1341</v>
      </c>
      <c r="D128" t="s">
        <v>1347</v>
      </c>
      <c r="E128" t="s">
        <v>1342</v>
      </c>
      <c r="F128">
        <v>4</v>
      </c>
      <c r="G128" t="s">
        <v>995</v>
      </c>
      <c r="I128">
        <v>12.1</v>
      </c>
      <c r="J128">
        <v>7569597</v>
      </c>
      <c r="M128" t="s">
        <v>1344</v>
      </c>
      <c r="N128" t="s">
        <v>1427</v>
      </c>
      <c r="O128" t="s">
        <v>1419</v>
      </c>
      <c r="P128" t="s">
        <v>1409</v>
      </c>
    </row>
    <row r="129" spans="1:17" hidden="1">
      <c r="A129" t="s">
        <v>925</v>
      </c>
      <c r="B129" t="s">
        <v>1340</v>
      </c>
      <c r="C129" t="s">
        <v>1348</v>
      </c>
      <c r="D129" t="s">
        <v>1349</v>
      </c>
      <c r="E129" t="s">
        <v>1350</v>
      </c>
      <c r="F129">
        <v>4</v>
      </c>
      <c r="G129" t="s">
        <v>1253</v>
      </c>
      <c r="I129">
        <v>5.0999999999999996</v>
      </c>
      <c r="J129">
        <v>7569597</v>
      </c>
      <c r="M129" t="s">
        <v>925</v>
      </c>
      <c r="N129" t="s">
        <v>1427</v>
      </c>
      <c r="O129" t="s">
        <v>1419</v>
      </c>
      <c r="P129" t="s">
        <v>1409</v>
      </c>
    </row>
    <row r="130" spans="1:17" hidden="1">
      <c r="A130" t="s">
        <v>1351</v>
      </c>
      <c r="B130" t="s">
        <v>1340</v>
      </c>
      <c r="G130" t="s">
        <v>1352</v>
      </c>
      <c r="J130">
        <v>7569597</v>
      </c>
      <c r="N130" t="s">
        <v>1427</v>
      </c>
      <c r="O130" t="s">
        <v>1419</v>
      </c>
      <c r="P130" t="s">
        <v>1409</v>
      </c>
    </row>
    <row r="131" spans="1:17" hidden="1">
      <c r="A131" t="s">
        <v>927</v>
      </c>
      <c r="B131" t="s">
        <v>1340</v>
      </c>
      <c r="C131" t="s">
        <v>1353</v>
      </c>
      <c r="D131" t="s">
        <v>1354</v>
      </c>
      <c r="E131" t="s">
        <v>1355</v>
      </c>
      <c r="F131">
        <v>4</v>
      </c>
      <c r="G131" t="s">
        <v>982</v>
      </c>
      <c r="I131">
        <v>5.7</v>
      </c>
      <c r="J131">
        <v>7569598</v>
      </c>
      <c r="M131" t="s">
        <v>927</v>
      </c>
      <c r="N131" t="s">
        <v>1427</v>
      </c>
      <c r="O131" t="s">
        <v>1419</v>
      </c>
      <c r="P131" t="s">
        <v>1409</v>
      </c>
    </row>
    <row r="132" spans="1:17" hidden="1">
      <c r="A132" t="s">
        <v>1356</v>
      </c>
      <c r="B132" t="s">
        <v>1340</v>
      </c>
      <c r="C132" t="s">
        <v>1357</v>
      </c>
      <c r="E132" t="s">
        <v>1358</v>
      </c>
      <c r="F132">
        <v>4</v>
      </c>
      <c r="G132" t="s">
        <v>995</v>
      </c>
      <c r="J132">
        <v>7569598</v>
      </c>
      <c r="M132" t="s">
        <v>928</v>
      </c>
      <c r="N132" t="s">
        <v>1427</v>
      </c>
      <c r="O132" t="s">
        <v>1419</v>
      </c>
      <c r="P132" t="s">
        <v>1409</v>
      </c>
    </row>
    <row r="133" spans="1:17" hidden="1">
      <c r="A133" t="s">
        <v>928</v>
      </c>
      <c r="B133" t="s">
        <v>1340</v>
      </c>
      <c r="C133" t="s">
        <v>1357</v>
      </c>
      <c r="D133" t="s">
        <v>1359</v>
      </c>
      <c r="E133" t="s">
        <v>1358</v>
      </c>
      <c r="F133">
        <v>4</v>
      </c>
      <c r="G133" t="s">
        <v>995</v>
      </c>
      <c r="I133">
        <v>5.8</v>
      </c>
      <c r="J133">
        <v>7569598</v>
      </c>
      <c r="M133" t="s">
        <v>928</v>
      </c>
      <c r="N133" t="s">
        <v>1427</v>
      </c>
      <c r="O133" t="s">
        <v>1419</v>
      </c>
      <c r="P133" t="s">
        <v>1409</v>
      </c>
    </row>
    <row r="134" spans="1:17" hidden="1">
      <c r="A134" t="s">
        <v>1360</v>
      </c>
      <c r="B134" t="s">
        <v>1340</v>
      </c>
      <c r="G134" t="s">
        <v>1361</v>
      </c>
      <c r="H134" t="s">
        <v>1281</v>
      </c>
      <c r="J134">
        <v>7569598</v>
      </c>
      <c r="N134" t="s">
        <v>1427</v>
      </c>
      <c r="O134" t="s">
        <v>1419</v>
      </c>
      <c r="P134" t="s">
        <v>1409</v>
      </c>
    </row>
    <row r="135" spans="1:17" hidden="1">
      <c r="A135" t="s">
        <v>949</v>
      </c>
      <c r="B135" t="s">
        <v>1340</v>
      </c>
      <c r="C135" t="s">
        <v>1362</v>
      </c>
      <c r="D135" t="s">
        <v>1363</v>
      </c>
      <c r="E135" t="s">
        <v>1364</v>
      </c>
      <c r="F135">
        <v>4</v>
      </c>
      <c r="G135" t="s">
        <v>484</v>
      </c>
      <c r="J135">
        <v>7569599</v>
      </c>
      <c r="M135" t="s">
        <v>949</v>
      </c>
      <c r="N135" t="s">
        <v>1427</v>
      </c>
      <c r="O135" t="s">
        <v>1419</v>
      </c>
      <c r="P135" t="s">
        <v>1409</v>
      </c>
    </row>
    <row r="136" spans="1:17" hidden="1">
      <c r="A136" t="s">
        <v>1365</v>
      </c>
      <c r="B136" t="s">
        <v>1340</v>
      </c>
      <c r="H136" t="s">
        <v>986</v>
      </c>
      <c r="J136">
        <v>7569600</v>
      </c>
      <c r="N136" t="s">
        <v>1427</v>
      </c>
      <c r="O136" t="s">
        <v>1419</v>
      </c>
      <c r="P136" t="s">
        <v>1409</v>
      </c>
    </row>
    <row r="137" spans="1:17" hidden="1">
      <c r="A137" t="s">
        <v>1470</v>
      </c>
      <c r="B137" t="s">
        <v>1471</v>
      </c>
      <c r="C137" t="s">
        <v>1367</v>
      </c>
      <c r="D137" t="s">
        <v>1472</v>
      </c>
      <c r="E137" t="s">
        <v>1368</v>
      </c>
      <c r="F137">
        <v>4</v>
      </c>
      <c r="G137" t="s">
        <v>1473</v>
      </c>
      <c r="J137">
        <v>7572322</v>
      </c>
      <c r="N137" t="s">
        <v>1410</v>
      </c>
      <c r="P137" t="s">
        <v>1409</v>
      </c>
      <c r="Q137">
        <v>45912</v>
      </c>
    </row>
    <row r="138" spans="1:17" hidden="1">
      <c r="A138" t="s">
        <v>1366</v>
      </c>
      <c r="B138" t="s">
        <v>1471</v>
      </c>
      <c r="C138" t="s">
        <v>1367</v>
      </c>
      <c r="D138" t="s">
        <v>1474</v>
      </c>
      <c r="E138" t="s">
        <v>1368</v>
      </c>
      <c r="F138">
        <v>4</v>
      </c>
      <c r="G138" t="s">
        <v>1369</v>
      </c>
      <c r="J138">
        <v>7572322</v>
      </c>
      <c r="N138" t="s">
        <v>1410</v>
      </c>
      <c r="P138" t="s">
        <v>1409</v>
      </c>
      <c r="Q138">
        <v>45912</v>
      </c>
    </row>
    <row r="139" spans="1:17" hidden="1">
      <c r="A139" t="s">
        <v>1475</v>
      </c>
      <c r="B139" t="s">
        <v>1471</v>
      </c>
      <c r="C139" t="s">
        <v>1367</v>
      </c>
      <c r="D139" t="s">
        <v>1476</v>
      </c>
      <c r="E139" t="s">
        <v>1368</v>
      </c>
      <c r="F139">
        <v>4</v>
      </c>
      <c r="G139" t="s">
        <v>1477</v>
      </c>
      <c r="I139">
        <v>47.6</v>
      </c>
      <c r="J139">
        <v>7572322</v>
      </c>
      <c r="M139" t="s">
        <v>1370</v>
      </c>
      <c r="N139" t="s">
        <v>1410</v>
      </c>
      <c r="P139" t="s">
        <v>1409</v>
      </c>
      <c r="Q139">
        <v>45912</v>
      </c>
    </row>
    <row r="140" spans="1:17" hidden="1">
      <c r="A140" t="s">
        <v>1370</v>
      </c>
      <c r="B140" t="s">
        <v>1471</v>
      </c>
      <c r="C140" t="s">
        <v>1367</v>
      </c>
      <c r="D140" t="s">
        <v>1371</v>
      </c>
      <c r="E140" t="s">
        <v>1368</v>
      </c>
      <c r="F140">
        <v>4</v>
      </c>
      <c r="G140" t="s">
        <v>1372</v>
      </c>
      <c r="I140">
        <v>47.6</v>
      </c>
      <c r="J140">
        <v>7572322</v>
      </c>
      <c r="M140" t="s">
        <v>1370</v>
      </c>
      <c r="N140" t="s">
        <v>1410</v>
      </c>
      <c r="P140" t="s">
        <v>1409</v>
      </c>
      <c r="Q140">
        <v>45912</v>
      </c>
    </row>
    <row r="141" spans="1:17" hidden="1">
      <c r="A141" t="s">
        <v>1478</v>
      </c>
      <c r="B141" t="s">
        <v>1471</v>
      </c>
      <c r="C141" t="s">
        <v>1374</v>
      </c>
      <c r="D141" t="s">
        <v>1479</v>
      </c>
      <c r="E141" t="s">
        <v>1376</v>
      </c>
      <c r="F141">
        <v>4</v>
      </c>
      <c r="G141" t="s">
        <v>1480</v>
      </c>
      <c r="I141">
        <v>4.8</v>
      </c>
      <c r="J141">
        <v>7572322</v>
      </c>
      <c r="M141" t="s">
        <v>1373</v>
      </c>
      <c r="N141" t="s">
        <v>1410</v>
      </c>
      <c r="P141" t="s">
        <v>1409</v>
      </c>
      <c r="Q141">
        <v>45912</v>
      </c>
    </row>
    <row r="142" spans="1:17" hidden="1">
      <c r="A142" t="s">
        <v>1373</v>
      </c>
      <c r="B142" t="s">
        <v>1471</v>
      </c>
      <c r="C142" t="s">
        <v>1374</v>
      </c>
      <c r="D142" t="s">
        <v>1375</v>
      </c>
      <c r="E142" t="s">
        <v>1376</v>
      </c>
      <c r="F142">
        <v>4</v>
      </c>
      <c r="G142" t="s">
        <v>1377</v>
      </c>
      <c r="I142">
        <v>4.8</v>
      </c>
      <c r="J142">
        <v>7572322</v>
      </c>
      <c r="M142" t="s">
        <v>1373</v>
      </c>
      <c r="N142" t="s">
        <v>1410</v>
      </c>
      <c r="P142" t="s">
        <v>1409</v>
      </c>
      <c r="Q142">
        <v>45912</v>
      </c>
    </row>
    <row r="143" spans="1:17" hidden="1">
      <c r="A143" t="s">
        <v>1481</v>
      </c>
      <c r="B143" t="s">
        <v>1471</v>
      </c>
      <c r="C143" t="s">
        <v>1379</v>
      </c>
      <c r="D143" t="s">
        <v>1482</v>
      </c>
      <c r="E143" t="s">
        <v>1380</v>
      </c>
      <c r="F143">
        <v>4</v>
      </c>
      <c r="G143" t="s">
        <v>1473</v>
      </c>
      <c r="J143">
        <v>7572349</v>
      </c>
      <c r="M143" t="s">
        <v>1381</v>
      </c>
      <c r="N143" t="s">
        <v>1410</v>
      </c>
      <c r="P143" t="s">
        <v>1409</v>
      </c>
      <c r="Q143">
        <v>45912</v>
      </c>
    </row>
    <row r="144" spans="1:17" hidden="1">
      <c r="A144" t="s">
        <v>1483</v>
      </c>
      <c r="B144" t="s">
        <v>1471</v>
      </c>
      <c r="C144" t="s">
        <v>1379</v>
      </c>
      <c r="D144" t="s">
        <v>1516</v>
      </c>
      <c r="E144" t="s">
        <v>1380</v>
      </c>
      <c r="F144">
        <v>4</v>
      </c>
      <c r="G144" t="s">
        <v>1484</v>
      </c>
      <c r="J144">
        <v>7572349</v>
      </c>
      <c r="M144" t="s">
        <v>1381</v>
      </c>
      <c r="N144" t="s">
        <v>1410</v>
      </c>
      <c r="P144" t="s">
        <v>1409</v>
      </c>
      <c r="Q144">
        <v>45912</v>
      </c>
    </row>
    <row r="145" spans="1:17" hidden="1">
      <c r="A145" t="s">
        <v>1378</v>
      </c>
      <c r="B145" t="s">
        <v>1471</v>
      </c>
      <c r="C145" t="s">
        <v>1379</v>
      </c>
      <c r="D145" t="s">
        <v>1469</v>
      </c>
      <c r="E145" t="s">
        <v>1380</v>
      </c>
      <c r="F145">
        <v>4</v>
      </c>
      <c r="G145" t="s">
        <v>1266</v>
      </c>
      <c r="J145">
        <v>7572349</v>
      </c>
      <c r="M145" t="s">
        <v>1381</v>
      </c>
      <c r="N145" t="s">
        <v>1410</v>
      </c>
      <c r="P145" t="s">
        <v>1409</v>
      </c>
      <c r="Q145">
        <v>45912</v>
      </c>
    </row>
    <row r="146" spans="1:17" hidden="1">
      <c r="A146" t="s">
        <v>1382</v>
      </c>
      <c r="B146" t="s">
        <v>1471</v>
      </c>
      <c r="C146" t="s">
        <v>1379</v>
      </c>
      <c r="D146" t="s">
        <v>1485</v>
      </c>
      <c r="E146" t="s">
        <v>1380</v>
      </c>
      <c r="F146">
        <v>4</v>
      </c>
      <c r="G146" t="s">
        <v>995</v>
      </c>
      <c r="I146">
        <v>5.7</v>
      </c>
      <c r="J146">
        <v>7572349</v>
      </c>
      <c r="M146" t="s">
        <v>1381</v>
      </c>
      <c r="N146" t="s">
        <v>1410</v>
      </c>
      <c r="P146" t="s">
        <v>1409</v>
      </c>
      <c r="Q146">
        <v>45912</v>
      </c>
    </row>
    <row r="147" spans="1:17" hidden="1">
      <c r="A147" t="s">
        <v>1383</v>
      </c>
      <c r="B147" t="s">
        <v>1471</v>
      </c>
      <c r="C147" t="s">
        <v>1384</v>
      </c>
      <c r="D147" t="s">
        <v>1385</v>
      </c>
      <c r="E147" t="s">
        <v>1386</v>
      </c>
      <c r="F147">
        <v>4</v>
      </c>
      <c r="G147" t="s">
        <v>1387</v>
      </c>
      <c r="I147">
        <v>4.3</v>
      </c>
      <c r="J147">
        <v>7572349</v>
      </c>
      <c r="M147" t="s">
        <v>1383</v>
      </c>
      <c r="N147" t="s">
        <v>1410</v>
      </c>
      <c r="P147" t="s">
        <v>1409</v>
      </c>
      <c r="Q147">
        <v>45912</v>
      </c>
    </row>
    <row r="148" spans="1:17" hidden="1">
      <c r="A148" t="s">
        <v>1388</v>
      </c>
      <c r="B148" t="s">
        <v>1471</v>
      </c>
      <c r="D148" t="s">
        <v>1486</v>
      </c>
      <c r="E148" t="s">
        <v>1255</v>
      </c>
      <c r="G148" t="s">
        <v>1389</v>
      </c>
      <c r="J148">
        <v>7572349</v>
      </c>
      <c r="N148" t="s">
        <v>1410</v>
      </c>
      <c r="P148" t="s">
        <v>1409</v>
      </c>
      <c r="Q148">
        <v>45912</v>
      </c>
    </row>
    <row r="149" spans="1:17" hidden="1">
      <c r="A149" t="s">
        <v>1510</v>
      </c>
      <c r="B149" t="s">
        <v>1391</v>
      </c>
      <c r="C149" t="s">
        <v>1392</v>
      </c>
      <c r="D149" t="s">
        <v>1487</v>
      </c>
      <c r="E149" t="s">
        <v>1394</v>
      </c>
      <c r="F149">
        <v>4</v>
      </c>
      <c r="G149" t="s">
        <v>1473</v>
      </c>
      <c r="J149">
        <v>7572327</v>
      </c>
      <c r="M149" t="s">
        <v>1395</v>
      </c>
      <c r="N149" t="s">
        <v>1410</v>
      </c>
      <c r="P149" t="s">
        <v>1409</v>
      </c>
      <c r="Q149">
        <v>45912</v>
      </c>
    </row>
    <row r="150" spans="1:17" hidden="1">
      <c r="A150" t="s">
        <v>1488</v>
      </c>
      <c r="B150" t="s">
        <v>1391</v>
      </c>
      <c r="C150" t="s">
        <v>1392</v>
      </c>
      <c r="D150" t="s">
        <v>1517</v>
      </c>
      <c r="E150" t="s">
        <v>1394</v>
      </c>
      <c r="F150">
        <v>4</v>
      </c>
      <c r="G150" t="s">
        <v>1484</v>
      </c>
      <c r="J150">
        <v>7572327</v>
      </c>
      <c r="M150" t="s">
        <v>1395</v>
      </c>
      <c r="N150" t="s">
        <v>1410</v>
      </c>
      <c r="P150" t="s">
        <v>1409</v>
      </c>
      <c r="Q150">
        <v>45912</v>
      </c>
    </row>
    <row r="151" spans="1:17" hidden="1">
      <c r="A151" t="s">
        <v>1489</v>
      </c>
      <c r="B151" t="s">
        <v>1391</v>
      </c>
      <c r="C151" t="s">
        <v>1392</v>
      </c>
      <c r="D151" t="s">
        <v>1490</v>
      </c>
      <c r="E151" t="s">
        <v>1394</v>
      </c>
      <c r="F151">
        <v>4</v>
      </c>
      <c r="J151">
        <v>7572327</v>
      </c>
      <c r="M151" t="s">
        <v>1395</v>
      </c>
      <c r="N151" t="s">
        <v>1410</v>
      </c>
      <c r="P151" t="s">
        <v>1409</v>
      </c>
      <c r="Q151">
        <v>45912</v>
      </c>
    </row>
    <row r="152" spans="1:17" hidden="1">
      <c r="A152" t="s">
        <v>1390</v>
      </c>
      <c r="B152" t="s">
        <v>1391</v>
      </c>
      <c r="C152" t="s">
        <v>1392</v>
      </c>
      <c r="D152" t="s">
        <v>1393</v>
      </c>
      <c r="E152" t="s">
        <v>1394</v>
      </c>
      <c r="F152">
        <v>4</v>
      </c>
      <c r="G152" t="s">
        <v>982</v>
      </c>
      <c r="J152">
        <v>7572327</v>
      </c>
      <c r="M152" t="s">
        <v>1395</v>
      </c>
      <c r="N152" t="s">
        <v>1410</v>
      </c>
      <c r="P152" t="s">
        <v>1409</v>
      </c>
      <c r="Q152">
        <v>45912</v>
      </c>
    </row>
    <row r="153" spans="1:17" hidden="1">
      <c r="A153" t="s">
        <v>1396</v>
      </c>
      <c r="B153" t="s">
        <v>1391</v>
      </c>
      <c r="D153" t="s">
        <v>1491</v>
      </c>
      <c r="G153" t="s">
        <v>1492</v>
      </c>
      <c r="J153">
        <v>7572327</v>
      </c>
      <c r="N153" t="s">
        <v>1410</v>
      </c>
      <c r="P153" t="s">
        <v>1409</v>
      </c>
      <c r="Q153">
        <v>45912</v>
      </c>
    </row>
    <row r="154" spans="1:17" hidden="1">
      <c r="A154" t="s">
        <v>1493</v>
      </c>
      <c r="B154" t="s">
        <v>1391</v>
      </c>
      <c r="D154" t="s">
        <v>1494</v>
      </c>
      <c r="E154" t="s">
        <v>1495</v>
      </c>
      <c r="G154" t="s">
        <v>1473</v>
      </c>
      <c r="J154">
        <v>7572328</v>
      </c>
      <c r="Q154">
        <v>45912</v>
      </c>
    </row>
    <row r="155" spans="1:17" hidden="1">
      <c r="A155" t="s">
        <v>1496</v>
      </c>
      <c r="B155" t="s">
        <v>1391</v>
      </c>
      <c r="C155" t="s">
        <v>1398</v>
      </c>
      <c r="D155" t="s">
        <v>1497</v>
      </c>
      <c r="E155" t="s">
        <v>1400</v>
      </c>
      <c r="F155">
        <v>4</v>
      </c>
      <c r="G155" t="s">
        <v>1484</v>
      </c>
      <c r="J155">
        <v>7572328</v>
      </c>
      <c r="M155" t="s">
        <v>1397</v>
      </c>
      <c r="N155" t="s">
        <v>1410</v>
      </c>
      <c r="P155" t="s">
        <v>1409</v>
      </c>
      <c r="Q155">
        <v>45912</v>
      </c>
    </row>
    <row r="156" spans="1:17" hidden="1">
      <c r="A156" t="s">
        <v>1498</v>
      </c>
      <c r="B156" t="s">
        <v>1391</v>
      </c>
      <c r="C156" t="s">
        <v>1398</v>
      </c>
      <c r="D156" t="s">
        <v>1499</v>
      </c>
      <c r="E156" t="s">
        <v>1400</v>
      </c>
      <c r="F156">
        <v>4</v>
      </c>
      <c r="G156" t="s">
        <v>1477</v>
      </c>
      <c r="J156">
        <v>7572328</v>
      </c>
      <c r="M156" t="s">
        <v>1397</v>
      </c>
      <c r="N156" t="s">
        <v>1410</v>
      </c>
      <c r="P156" t="s">
        <v>1409</v>
      </c>
      <c r="Q156">
        <v>45912</v>
      </c>
    </row>
    <row r="157" spans="1:17" hidden="1">
      <c r="A157" t="s">
        <v>1397</v>
      </c>
      <c r="B157" t="s">
        <v>1391</v>
      </c>
      <c r="C157" t="s">
        <v>1398</v>
      </c>
      <c r="D157" t="s">
        <v>1399</v>
      </c>
      <c r="E157" t="s">
        <v>1400</v>
      </c>
      <c r="F157">
        <v>4</v>
      </c>
      <c r="G157" t="s">
        <v>1372</v>
      </c>
      <c r="J157">
        <v>7572328</v>
      </c>
      <c r="M157" t="s">
        <v>1397</v>
      </c>
      <c r="N157" t="s">
        <v>1410</v>
      </c>
      <c r="P157" t="s">
        <v>1409</v>
      </c>
      <c r="Q157">
        <v>45912</v>
      </c>
    </row>
    <row r="158" spans="1:17" hidden="1">
      <c r="A158" t="s">
        <v>1500</v>
      </c>
      <c r="B158" t="s">
        <v>1391</v>
      </c>
      <c r="C158" t="s">
        <v>1402</v>
      </c>
      <c r="D158" t="s">
        <v>1501</v>
      </c>
      <c r="E158" t="s">
        <v>1404</v>
      </c>
      <c r="F158">
        <v>4</v>
      </c>
      <c r="G158" t="s">
        <v>1502</v>
      </c>
      <c r="J158">
        <v>7572328</v>
      </c>
      <c r="M158" t="s">
        <v>1401</v>
      </c>
      <c r="N158" t="s">
        <v>1410</v>
      </c>
      <c r="P158" t="s">
        <v>1409</v>
      </c>
      <c r="Q158">
        <v>45912</v>
      </c>
    </row>
    <row r="159" spans="1:17" hidden="1">
      <c r="A159" t="s">
        <v>1401</v>
      </c>
      <c r="B159" t="s">
        <v>1391</v>
      </c>
      <c r="C159" t="s">
        <v>1402</v>
      </c>
      <c r="D159" t="s">
        <v>1403</v>
      </c>
      <c r="E159" t="s">
        <v>1404</v>
      </c>
      <c r="F159">
        <v>4</v>
      </c>
      <c r="G159" t="s">
        <v>1377</v>
      </c>
      <c r="J159">
        <v>7572328</v>
      </c>
      <c r="M159" t="s">
        <v>1401</v>
      </c>
      <c r="N159" t="s">
        <v>1410</v>
      </c>
      <c r="P159" t="s">
        <v>1409</v>
      </c>
      <c r="Q159">
        <v>45912</v>
      </c>
    </row>
    <row r="160" spans="1:17" hidden="1">
      <c r="A160" t="s">
        <v>1405</v>
      </c>
      <c r="B160" t="s">
        <v>1391</v>
      </c>
      <c r="D160" t="s">
        <v>1503</v>
      </c>
      <c r="J160">
        <v>7572328</v>
      </c>
      <c r="N160" t="s">
        <v>1410</v>
      </c>
      <c r="P160" t="s">
        <v>1409</v>
      </c>
      <c r="Q160">
        <v>45912</v>
      </c>
    </row>
    <row r="161" spans="1:16" hidden="1">
      <c r="A161" t="s">
        <v>1449</v>
      </c>
      <c r="B161" t="s">
        <v>1450</v>
      </c>
      <c r="C161" t="s">
        <v>1451</v>
      </c>
      <c r="D161" t="s">
        <v>1674</v>
      </c>
      <c r="E161" t="s">
        <v>1453</v>
      </c>
      <c r="F161">
        <v>4</v>
      </c>
      <c r="G161" t="s">
        <v>1454</v>
      </c>
    </row>
    <row r="162" spans="1:16" hidden="1">
      <c r="A162" t="s">
        <v>1448</v>
      </c>
      <c r="B162" t="s">
        <v>1450</v>
      </c>
      <c r="C162" t="s">
        <v>1451</v>
      </c>
      <c r="D162" t="s">
        <v>1452</v>
      </c>
      <c r="E162" t="s">
        <v>1453</v>
      </c>
      <c r="F162">
        <v>4</v>
      </c>
      <c r="G162" t="s">
        <v>1454</v>
      </c>
    </row>
    <row r="163" spans="1:16" hidden="1">
      <c r="A163" t="s">
        <v>1455</v>
      </c>
      <c r="B163" t="s">
        <v>1450</v>
      </c>
      <c r="C163" t="s">
        <v>1456</v>
      </c>
      <c r="D163" t="s">
        <v>1675</v>
      </c>
      <c r="E163" t="s">
        <v>1458</v>
      </c>
      <c r="F163">
        <v>4</v>
      </c>
      <c r="G163" t="s">
        <v>1454</v>
      </c>
    </row>
    <row r="164" spans="1:16" hidden="1">
      <c r="A164" t="s">
        <v>1459</v>
      </c>
      <c r="B164" t="s">
        <v>1450</v>
      </c>
      <c r="C164" t="s">
        <v>1456</v>
      </c>
      <c r="D164" t="s">
        <v>1457</v>
      </c>
      <c r="E164" t="s">
        <v>1458</v>
      </c>
      <c r="F164">
        <v>2</v>
      </c>
      <c r="G164" t="s">
        <v>1454</v>
      </c>
    </row>
    <row r="165" spans="1:16" hidden="1">
      <c r="A165" t="s">
        <v>1460</v>
      </c>
      <c r="B165" t="s">
        <v>1450</v>
      </c>
      <c r="C165" t="s">
        <v>1461</v>
      </c>
      <c r="D165" t="s">
        <v>1462</v>
      </c>
      <c r="E165" t="s">
        <v>1463</v>
      </c>
      <c r="F165">
        <v>4</v>
      </c>
      <c r="G165" t="s">
        <v>1464</v>
      </c>
    </row>
    <row r="166" spans="1:16" hidden="1">
      <c r="A166" t="s">
        <v>1518</v>
      </c>
      <c r="B166" t="s">
        <v>1504</v>
      </c>
      <c r="C166" t="s">
        <v>1505</v>
      </c>
      <c r="D166" t="s">
        <v>1519</v>
      </c>
      <c r="E166" t="s">
        <v>1507</v>
      </c>
      <c r="F166">
        <v>4</v>
      </c>
      <c r="G166" t="s">
        <v>1508</v>
      </c>
      <c r="M166" t="s">
        <v>1509</v>
      </c>
      <c r="P166" t="s">
        <v>1409</v>
      </c>
    </row>
    <row r="167" spans="1:16" hidden="1">
      <c r="A167" t="s">
        <v>1467</v>
      </c>
      <c r="B167" t="s">
        <v>1504</v>
      </c>
      <c r="C167" t="s">
        <v>1505</v>
      </c>
      <c r="D167" t="s">
        <v>1506</v>
      </c>
      <c r="E167" t="s">
        <v>1507</v>
      </c>
      <c r="F167">
        <v>4</v>
      </c>
      <c r="G167" t="s">
        <v>1508</v>
      </c>
      <c r="M167" t="s">
        <v>1509</v>
      </c>
      <c r="P167" t="s">
        <v>1409</v>
      </c>
    </row>
    <row r="168" spans="1:16" hidden="1">
      <c r="A168" t="s">
        <v>1520</v>
      </c>
      <c r="B168" t="s">
        <v>1521</v>
      </c>
      <c r="C168" t="s">
        <v>1081</v>
      </c>
      <c r="D168" t="s">
        <v>1522</v>
      </c>
      <c r="E168" t="s">
        <v>1082</v>
      </c>
      <c r="F168">
        <v>8</v>
      </c>
      <c r="G168" t="s">
        <v>995</v>
      </c>
      <c r="J168">
        <v>7576832</v>
      </c>
      <c r="L168" t="s">
        <v>1523</v>
      </c>
      <c r="N168" t="s">
        <v>1424</v>
      </c>
    </row>
    <row r="169" spans="1:16" hidden="1">
      <c r="A169" t="s">
        <v>1524</v>
      </c>
      <c r="B169" t="s">
        <v>1521</v>
      </c>
      <c r="C169" t="s">
        <v>1081</v>
      </c>
      <c r="D169" t="s">
        <v>1525</v>
      </c>
      <c r="E169" t="s">
        <v>1082</v>
      </c>
      <c r="F169">
        <v>8</v>
      </c>
      <c r="G169" t="s">
        <v>995</v>
      </c>
      <c r="H169" t="s">
        <v>1526</v>
      </c>
      <c r="J169">
        <v>7576832</v>
      </c>
      <c r="L169" t="s">
        <v>1523</v>
      </c>
      <c r="N169" t="s">
        <v>1424</v>
      </c>
    </row>
    <row r="170" spans="1:16" hidden="1">
      <c r="A170" t="s">
        <v>1527</v>
      </c>
      <c r="B170" t="s">
        <v>1521</v>
      </c>
      <c r="C170" t="s">
        <v>1081</v>
      </c>
      <c r="D170" t="s">
        <v>1528</v>
      </c>
      <c r="E170" t="s">
        <v>1082</v>
      </c>
      <c r="F170">
        <v>8</v>
      </c>
      <c r="G170" t="s">
        <v>995</v>
      </c>
      <c r="J170">
        <v>7576832</v>
      </c>
      <c r="L170" t="s">
        <v>1523</v>
      </c>
      <c r="N170" t="s">
        <v>1424</v>
      </c>
    </row>
    <row r="171" spans="1:16" hidden="1">
      <c r="A171" t="s">
        <v>1529</v>
      </c>
      <c r="B171" t="s">
        <v>1521</v>
      </c>
      <c r="D171" t="s">
        <v>1530</v>
      </c>
      <c r="E171" t="s">
        <v>1085</v>
      </c>
      <c r="F171">
        <v>8</v>
      </c>
      <c r="G171" t="s">
        <v>995</v>
      </c>
      <c r="J171">
        <v>7576832</v>
      </c>
      <c r="L171" t="s">
        <v>1523</v>
      </c>
      <c r="N171" t="s">
        <v>1424</v>
      </c>
    </row>
    <row r="172" spans="1:16" hidden="1">
      <c r="A172" t="s">
        <v>1531</v>
      </c>
      <c r="B172" t="s">
        <v>1521</v>
      </c>
      <c r="C172" t="s">
        <v>1108</v>
      </c>
      <c r="E172" t="s">
        <v>1109</v>
      </c>
      <c r="F172">
        <v>8</v>
      </c>
      <c r="G172" t="s">
        <v>1533</v>
      </c>
      <c r="J172">
        <v>7577868</v>
      </c>
      <c r="L172" t="s">
        <v>1523</v>
      </c>
      <c r="N172" t="s">
        <v>1424</v>
      </c>
    </row>
    <row r="173" spans="1:16" hidden="1">
      <c r="A173" t="s">
        <v>1534</v>
      </c>
      <c r="B173" t="s">
        <v>1521</v>
      </c>
      <c r="C173" t="s">
        <v>1113</v>
      </c>
      <c r="E173" t="s">
        <v>1114</v>
      </c>
      <c r="F173">
        <v>8</v>
      </c>
      <c r="G173" t="s">
        <v>982</v>
      </c>
      <c r="J173">
        <v>7577868</v>
      </c>
      <c r="L173" t="s">
        <v>1523</v>
      </c>
      <c r="N173" t="s">
        <v>1424</v>
      </c>
    </row>
    <row r="174" spans="1:16" hidden="1">
      <c r="A174" t="s">
        <v>1536</v>
      </c>
      <c r="B174" t="s">
        <v>1078</v>
      </c>
      <c r="C174" t="s">
        <v>1118</v>
      </c>
      <c r="E174" t="s">
        <v>1120</v>
      </c>
      <c r="F174">
        <v>8</v>
      </c>
      <c r="G174" t="s">
        <v>982</v>
      </c>
      <c r="J174">
        <v>7577853</v>
      </c>
      <c r="L174" t="s">
        <v>1523</v>
      </c>
      <c r="N174" t="s">
        <v>1424</v>
      </c>
    </row>
    <row r="175" spans="1:16" hidden="1">
      <c r="A175" t="s">
        <v>1538</v>
      </c>
      <c r="D175" t="s">
        <v>1539</v>
      </c>
      <c r="E175" t="s">
        <v>1540</v>
      </c>
      <c r="J175">
        <v>7576772</v>
      </c>
      <c r="N175" t="s">
        <v>1414</v>
      </c>
    </row>
    <row r="176" spans="1:16" hidden="1">
      <c r="A176" t="s">
        <v>1541</v>
      </c>
      <c r="D176" t="s">
        <v>1542</v>
      </c>
      <c r="E176" t="s">
        <v>1540</v>
      </c>
      <c r="H176" t="s">
        <v>1526</v>
      </c>
      <c r="J176">
        <v>7576772</v>
      </c>
      <c r="N176" t="s">
        <v>1414</v>
      </c>
    </row>
    <row r="177" spans="1:19" hidden="1">
      <c r="A177" t="s">
        <v>1544</v>
      </c>
      <c r="D177" t="s">
        <v>1545</v>
      </c>
      <c r="E177" t="s">
        <v>1546</v>
      </c>
      <c r="J177">
        <v>7576772</v>
      </c>
      <c r="N177" t="s">
        <v>1414</v>
      </c>
    </row>
    <row r="178" spans="1:19" hidden="1">
      <c r="A178" t="s">
        <v>1548</v>
      </c>
      <c r="B178" t="s">
        <v>1521</v>
      </c>
      <c r="D178" t="s">
        <v>1549</v>
      </c>
      <c r="E178" t="s">
        <v>1082</v>
      </c>
      <c r="G178" t="s">
        <v>995</v>
      </c>
      <c r="J178">
        <v>7576777</v>
      </c>
      <c r="N178" t="s">
        <v>1414</v>
      </c>
    </row>
    <row r="179" spans="1:19" hidden="1">
      <c r="A179" t="s">
        <v>1550</v>
      </c>
      <c r="B179" t="s">
        <v>1521</v>
      </c>
      <c r="D179" t="s">
        <v>1551</v>
      </c>
      <c r="E179" t="s">
        <v>1082</v>
      </c>
      <c r="G179" t="s">
        <v>995</v>
      </c>
      <c r="H179" t="s">
        <v>1526</v>
      </c>
      <c r="J179">
        <v>7576777</v>
      </c>
      <c r="N179" t="s">
        <v>1414</v>
      </c>
    </row>
    <row r="180" spans="1:19" hidden="1">
      <c r="A180" t="s">
        <v>1553</v>
      </c>
      <c r="B180" t="s">
        <v>1521</v>
      </c>
      <c r="D180" t="s">
        <v>1554</v>
      </c>
      <c r="E180" t="s">
        <v>1085</v>
      </c>
      <c r="G180" t="s">
        <v>995</v>
      </c>
      <c r="H180" t="s">
        <v>1526</v>
      </c>
      <c r="J180">
        <v>7576777</v>
      </c>
      <c r="N180" t="s">
        <v>1414</v>
      </c>
    </row>
    <row r="181" spans="1:19" hidden="1">
      <c r="A181" t="s">
        <v>1721</v>
      </c>
      <c r="B181" t="s">
        <v>1711</v>
      </c>
      <c r="C181" t="s">
        <v>1712</v>
      </c>
      <c r="D181" t="s">
        <v>1543</v>
      </c>
      <c r="E181" t="s">
        <v>1722</v>
      </c>
      <c r="G181" t="s">
        <v>1713</v>
      </c>
      <c r="J181">
        <v>7579304</v>
      </c>
      <c r="N181" t="s">
        <v>1723</v>
      </c>
    </row>
    <row r="182" spans="1:19" hidden="1">
      <c r="A182" t="s">
        <v>1724</v>
      </c>
      <c r="B182" t="s">
        <v>1725</v>
      </c>
      <c r="C182" t="s">
        <v>1726</v>
      </c>
      <c r="D182" t="s">
        <v>1547</v>
      </c>
      <c r="E182" t="s">
        <v>1727</v>
      </c>
      <c r="G182" t="s">
        <v>982</v>
      </c>
      <c r="J182">
        <v>7579836</v>
      </c>
    </row>
    <row r="183" spans="1:19" hidden="1">
      <c r="A183" t="s">
        <v>1728</v>
      </c>
      <c r="B183" t="s">
        <v>1725</v>
      </c>
      <c r="C183" t="s">
        <v>1729</v>
      </c>
      <c r="D183" t="s">
        <v>1730</v>
      </c>
      <c r="E183" t="s">
        <v>1731</v>
      </c>
      <c r="J183">
        <v>7579837</v>
      </c>
    </row>
    <row r="184" spans="1:19" hidden="1">
      <c r="A184" t="s">
        <v>1732</v>
      </c>
      <c r="B184" t="s">
        <v>1725</v>
      </c>
      <c r="C184" t="s">
        <v>1729</v>
      </c>
      <c r="D184" t="s">
        <v>1733</v>
      </c>
      <c r="E184" t="s">
        <v>1731</v>
      </c>
      <c r="J184">
        <v>7579837</v>
      </c>
    </row>
    <row r="185" spans="1:19" hidden="1">
      <c r="A185" t="s">
        <v>1734</v>
      </c>
      <c r="B185" t="s">
        <v>1725</v>
      </c>
      <c r="C185" t="s">
        <v>1729</v>
      </c>
      <c r="D185" t="s">
        <v>1552</v>
      </c>
      <c r="E185" t="s">
        <v>1731</v>
      </c>
      <c r="G185" t="s">
        <v>1735</v>
      </c>
      <c r="J185">
        <v>7579837</v>
      </c>
    </row>
    <row r="186" spans="1:19" hidden="1">
      <c r="A186" t="s">
        <v>1736</v>
      </c>
      <c r="B186" t="s">
        <v>1725</v>
      </c>
      <c r="C186" t="s">
        <v>1737</v>
      </c>
      <c r="D186" t="s">
        <v>1555</v>
      </c>
      <c r="E186" t="s">
        <v>1738</v>
      </c>
      <c r="G186" t="s">
        <v>982</v>
      </c>
      <c r="J186">
        <v>7579837</v>
      </c>
    </row>
    <row r="187" spans="1:19" hidden="1">
      <c r="A187" t="s">
        <v>1676</v>
      </c>
      <c r="B187" t="s">
        <v>1634</v>
      </c>
      <c r="D187" t="s">
        <v>1635</v>
      </c>
      <c r="E187" t="s">
        <v>1677</v>
      </c>
      <c r="F187">
        <v>4</v>
      </c>
      <c r="G187" t="s">
        <v>487</v>
      </c>
      <c r="J187">
        <v>7578451</v>
      </c>
      <c r="L187" t="s">
        <v>1678</v>
      </c>
      <c r="M187" t="s">
        <v>1636</v>
      </c>
      <c r="N187" t="s">
        <v>1637</v>
      </c>
      <c r="P187" t="s">
        <v>1638</v>
      </c>
    </row>
    <row r="188" spans="1:19" hidden="1">
      <c r="A188" t="s">
        <v>1679</v>
      </c>
      <c r="B188" t="s">
        <v>1634</v>
      </c>
      <c r="D188" t="s">
        <v>1639</v>
      </c>
      <c r="E188" t="s">
        <v>1680</v>
      </c>
      <c r="F188">
        <v>4</v>
      </c>
      <c r="G188" t="s">
        <v>995</v>
      </c>
      <c r="J188">
        <v>7578451</v>
      </c>
      <c r="L188" t="s">
        <v>1681</v>
      </c>
      <c r="M188" t="s">
        <v>1640</v>
      </c>
      <c r="N188" t="s">
        <v>1637</v>
      </c>
      <c r="P188" t="s">
        <v>1638</v>
      </c>
    </row>
    <row r="189" spans="1:19" hidden="1">
      <c r="A189" t="s">
        <v>1682</v>
      </c>
      <c r="B189" t="s">
        <v>1634</v>
      </c>
      <c r="D189" t="s">
        <v>1641</v>
      </c>
      <c r="E189" t="s">
        <v>1642</v>
      </c>
      <c r="F189">
        <v>4</v>
      </c>
      <c r="G189" t="s">
        <v>982</v>
      </c>
      <c r="J189">
        <v>7578451</v>
      </c>
      <c r="L189" t="s">
        <v>1681</v>
      </c>
      <c r="M189" t="s">
        <v>1643</v>
      </c>
      <c r="N189" t="s">
        <v>1637</v>
      </c>
      <c r="P189" t="s">
        <v>1638</v>
      </c>
    </row>
    <row r="190" spans="1:19" hidden="1">
      <c r="A190" t="s">
        <v>1683</v>
      </c>
      <c r="B190" t="s">
        <v>1684</v>
      </c>
      <c r="C190" t="s">
        <v>1685</v>
      </c>
      <c r="D190" t="s">
        <v>1686</v>
      </c>
      <c r="E190" t="s">
        <v>1687</v>
      </c>
      <c r="F190">
        <v>4</v>
      </c>
      <c r="G190" t="s">
        <v>982</v>
      </c>
      <c r="I190">
        <v>21.7</v>
      </c>
      <c r="J190">
        <v>7576269</v>
      </c>
      <c r="N190" t="s">
        <v>1763</v>
      </c>
      <c r="O190" t="s">
        <v>1419</v>
      </c>
      <c r="P190" t="s">
        <v>1409</v>
      </c>
      <c r="Q190">
        <v>46017</v>
      </c>
      <c r="R190">
        <v>46082</v>
      </c>
      <c r="S190">
        <v>46113</v>
      </c>
    </row>
    <row r="191" spans="1:19" hidden="1">
      <c r="A191" t="s">
        <v>1688</v>
      </c>
      <c r="B191" t="s">
        <v>1684</v>
      </c>
      <c r="C191" t="s">
        <v>1689</v>
      </c>
      <c r="D191" t="s">
        <v>1690</v>
      </c>
      <c r="E191" t="s">
        <v>1691</v>
      </c>
      <c r="F191">
        <v>4</v>
      </c>
      <c r="G191" t="s">
        <v>1692</v>
      </c>
      <c r="I191">
        <v>4.2</v>
      </c>
      <c r="J191">
        <v>7576270</v>
      </c>
      <c r="N191" t="s">
        <v>1763</v>
      </c>
      <c r="O191" t="s">
        <v>1419</v>
      </c>
      <c r="P191" t="s">
        <v>1693</v>
      </c>
      <c r="Q191">
        <v>46006</v>
      </c>
      <c r="R191">
        <v>46082</v>
      </c>
      <c r="S191">
        <v>46113</v>
      </c>
    </row>
    <row r="192" spans="1:19" hidden="1">
      <c r="A192" t="s">
        <v>1694</v>
      </c>
      <c r="B192" t="s">
        <v>1684</v>
      </c>
      <c r="C192" t="s">
        <v>1695</v>
      </c>
      <c r="D192" t="s">
        <v>1696</v>
      </c>
      <c r="E192" t="s">
        <v>1697</v>
      </c>
      <c r="F192">
        <v>4</v>
      </c>
      <c r="G192" t="s">
        <v>982</v>
      </c>
      <c r="I192">
        <v>6.3</v>
      </c>
      <c r="J192">
        <v>7576271</v>
      </c>
      <c r="N192" t="s">
        <v>1763</v>
      </c>
      <c r="O192" t="s">
        <v>1419</v>
      </c>
      <c r="P192" t="s">
        <v>1409</v>
      </c>
      <c r="Q192">
        <v>46017</v>
      </c>
      <c r="R192">
        <v>46082</v>
      </c>
      <c r="S192">
        <v>46113</v>
      </c>
    </row>
    <row r="193" spans="1:19" hidden="1">
      <c r="A193" t="s">
        <v>1698</v>
      </c>
      <c r="B193" t="s">
        <v>1684</v>
      </c>
      <c r="C193" t="s">
        <v>1699</v>
      </c>
      <c r="D193" t="s">
        <v>1700</v>
      </c>
      <c r="E193" t="s">
        <v>1701</v>
      </c>
      <c r="F193">
        <v>4</v>
      </c>
      <c r="G193" t="s">
        <v>982</v>
      </c>
      <c r="I193">
        <v>46.5</v>
      </c>
      <c r="J193">
        <v>7576272</v>
      </c>
      <c r="N193" t="s">
        <v>1763</v>
      </c>
      <c r="O193" t="s">
        <v>1419</v>
      </c>
      <c r="P193" t="s">
        <v>1409</v>
      </c>
      <c r="Q193">
        <v>46017</v>
      </c>
      <c r="R193">
        <v>46082</v>
      </c>
      <c r="S193">
        <v>46113</v>
      </c>
    </row>
    <row r="194" spans="1:19" hidden="1">
      <c r="A194" t="s">
        <v>1739</v>
      </c>
      <c r="B194" t="s">
        <v>1709</v>
      </c>
      <c r="D194" t="s">
        <v>1710</v>
      </c>
      <c r="E194" t="s">
        <v>1765</v>
      </c>
      <c r="G194" t="s">
        <v>995</v>
      </c>
      <c r="I194">
        <v>8.6</v>
      </c>
      <c r="N194" t="s">
        <v>1740</v>
      </c>
      <c r="O194" t="s">
        <v>1741</v>
      </c>
      <c r="P194" t="s">
        <v>1409</v>
      </c>
      <c r="Q194">
        <v>46055</v>
      </c>
    </row>
    <row r="195" spans="1:19" hidden="1">
      <c r="A195" t="s">
        <v>1742</v>
      </c>
      <c r="B195" t="s">
        <v>1709</v>
      </c>
      <c r="D195" t="s">
        <v>1743</v>
      </c>
      <c r="E195" t="s">
        <v>1765</v>
      </c>
      <c r="G195" t="s">
        <v>995</v>
      </c>
      <c r="I195">
        <v>4.5</v>
      </c>
      <c r="N195" t="s">
        <v>1740</v>
      </c>
      <c r="O195" t="s">
        <v>1741</v>
      </c>
      <c r="P195" t="s">
        <v>1409</v>
      </c>
      <c r="Q195">
        <v>46055</v>
      </c>
    </row>
    <row r="196" spans="1:19" hidden="1">
      <c r="A196" t="s">
        <v>1744</v>
      </c>
      <c r="B196" t="s">
        <v>1709</v>
      </c>
      <c r="D196" t="s">
        <v>1745</v>
      </c>
      <c r="E196" t="s">
        <v>1832</v>
      </c>
      <c r="G196" t="s">
        <v>982</v>
      </c>
      <c r="I196">
        <v>4.0999999999999996</v>
      </c>
      <c r="N196" t="s">
        <v>1740</v>
      </c>
      <c r="O196" t="s">
        <v>1741</v>
      </c>
      <c r="P196" t="s">
        <v>1409</v>
      </c>
      <c r="Q196">
        <v>46055</v>
      </c>
    </row>
    <row r="197" spans="1:19" hidden="1">
      <c r="A197" t="s">
        <v>1749</v>
      </c>
      <c r="B197" t="s">
        <v>1709</v>
      </c>
      <c r="D197" t="s">
        <v>1747</v>
      </c>
      <c r="E197" t="s">
        <v>1831</v>
      </c>
      <c r="G197" t="s">
        <v>1748</v>
      </c>
      <c r="I197">
        <v>4</v>
      </c>
      <c r="N197" t="s">
        <v>1740</v>
      </c>
      <c r="O197" t="s">
        <v>1741</v>
      </c>
      <c r="P197" t="s">
        <v>1409</v>
      </c>
      <c r="Q197">
        <v>46055</v>
      </c>
    </row>
    <row r="198" spans="1:19" hidden="1">
      <c r="A198" t="s">
        <v>1746</v>
      </c>
      <c r="B198" t="s">
        <v>1709</v>
      </c>
      <c r="D198" t="s">
        <v>1750</v>
      </c>
      <c r="E198" t="s">
        <v>1831</v>
      </c>
      <c r="G198" t="s">
        <v>1748</v>
      </c>
      <c r="I198">
        <v>3</v>
      </c>
      <c r="N198" t="s">
        <v>1740</v>
      </c>
      <c r="O198" t="s">
        <v>1741</v>
      </c>
      <c r="P198" t="s">
        <v>1409</v>
      </c>
      <c r="Q198">
        <v>46055</v>
      </c>
    </row>
    <row r="199" spans="1:19" hidden="1">
      <c r="A199" t="s">
        <v>1751</v>
      </c>
      <c r="B199" t="s">
        <v>1752</v>
      </c>
    </row>
    <row r="200" spans="1:19" hidden="1">
      <c r="A200" t="s">
        <v>1769</v>
      </c>
      <c r="B200" t="s">
        <v>1634</v>
      </c>
      <c r="C200" t="s">
        <v>1770</v>
      </c>
      <c r="D200" t="s">
        <v>1532</v>
      </c>
      <c r="E200" t="s">
        <v>1677</v>
      </c>
      <c r="F200">
        <v>4</v>
      </c>
      <c r="G200" t="s">
        <v>1771</v>
      </c>
      <c r="J200">
        <v>7582553</v>
      </c>
      <c r="M200" t="s">
        <v>1772</v>
      </c>
      <c r="N200" t="s">
        <v>1637</v>
      </c>
      <c r="P200" t="s">
        <v>1638</v>
      </c>
    </row>
    <row r="201" spans="1:19" hidden="1">
      <c r="A201" t="s">
        <v>1773</v>
      </c>
      <c r="B201" t="s">
        <v>1634</v>
      </c>
      <c r="C201" t="s">
        <v>1774</v>
      </c>
      <c r="D201" t="s">
        <v>1535</v>
      </c>
      <c r="E201" t="s">
        <v>1680</v>
      </c>
      <c r="F201">
        <v>4</v>
      </c>
      <c r="G201" t="s">
        <v>995</v>
      </c>
      <c r="J201">
        <v>7582553</v>
      </c>
      <c r="M201" t="s">
        <v>1775</v>
      </c>
      <c r="N201" t="s">
        <v>1637</v>
      </c>
      <c r="P201" t="s">
        <v>1638</v>
      </c>
    </row>
    <row r="202" spans="1:19" hidden="1">
      <c r="A202" t="s">
        <v>1776</v>
      </c>
      <c r="B202" t="s">
        <v>1634</v>
      </c>
      <c r="C202" t="s">
        <v>1777</v>
      </c>
      <c r="D202" t="s">
        <v>1537</v>
      </c>
      <c r="E202" t="s">
        <v>1642</v>
      </c>
      <c r="F202">
        <v>4</v>
      </c>
      <c r="G202" t="s">
        <v>982</v>
      </c>
      <c r="J202">
        <v>7582553</v>
      </c>
      <c r="M202" t="s">
        <v>1778</v>
      </c>
      <c r="N202" t="s">
        <v>1637</v>
      </c>
      <c r="P202" t="s">
        <v>1638</v>
      </c>
    </row>
    <row r="203" spans="1:19" hidden="1">
      <c r="A203" t="s">
        <v>1779</v>
      </c>
      <c r="B203" t="s">
        <v>977</v>
      </c>
      <c r="C203" t="s">
        <v>978</v>
      </c>
      <c r="E203" t="s">
        <v>979</v>
      </c>
      <c r="H203" t="s">
        <v>980</v>
      </c>
      <c r="J203">
        <v>7581251</v>
      </c>
      <c r="M203" t="s">
        <v>523</v>
      </c>
      <c r="P203" t="s">
        <v>1409</v>
      </c>
    </row>
    <row r="204" spans="1:19" hidden="1">
      <c r="A204" t="s">
        <v>1780</v>
      </c>
      <c r="B204" t="s">
        <v>977</v>
      </c>
      <c r="C204" t="s">
        <v>978</v>
      </c>
      <c r="E204" t="s">
        <v>979</v>
      </c>
      <c r="F204">
        <v>4</v>
      </c>
      <c r="G204" t="s">
        <v>982</v>
      </c>
      <c r="H204" t="s">
        <v>980</v>
      </c>
      <c r="J204">
        <v>7581251</v>
      </c>
      <c r="M204" t="s">
        <v>523</v>
      </c>
      <c r="P204" t="s">
        <v>1409</v>
      </c>
    </row>
    <row r="205" spans="1:19" hidden="1">
      <c r="A205" t="s">
        <v>1781</v>
      </c>
      <c r="B205" t="s">
        <v>977</v>
      </c>
      <c r="C205" t="s">
        <v>984</v>
      </c>
      <c r="E205" t="s">
        <v>179</v>
      </c>
      <c r="F205">
        <v>4</v>
      </c>
      <c r="H205" t="s">
        <v>980</v>
      </c>
      <c r="J205">
        <v>7581251</v>
      </c>
      <c r="M205" t="s">
        <v>178</v>
      </c>
      <c r="P205" t="s">
        <v>1409</v>
      </c>
    </row>
    <row r="206" spans="1:19" hidden="1">
      <c r="A206" t="s">
        <v>1782</v>
      </c>
      <c r="B206" t="s">
        <v>977</v>
      </c>
      <c r="C206" t="s">
        <v>984</v>
      </c>
      <c r="E206" t="s">
        <v>179</v>
      </c>
      <c r="F206">
        <v>4</v>
      </c>
      <c r="G206" t="s">
        <v>995</v>
      </c>
      <c r="H206" t="s">
        <v>980</v>
      </c>
      <c r="J206">
        <v>7581251</v>
      </c>
      <c r="M206" t="s">
        <v>178</v>
      </c>
      <c r="P206" t="s">
        <v>1409</v>
      </c>
    </row>
    <row r="207" spans="1:19" hidden="1">
      <c r="A207" t="s">
        <v>1783</v>
      </c>
      <c r="B207" t="s">
        <v>1030</v>
      </c>
      <c r="C207" t="s">
        <v>1031</v>
      </c>
      <c r="E207" t="s">
        <v>1033</v>
      </c>
      <c r="F207">
        <v>4</v>
      </c>
      <c r="G207" t="s">
        <v>982</v>
      </c>
      <c r="H207" t="s">
        <v>980</v>
      </c>
      <c r="J207">
        <v>7581249</v>
      </c>
      <c r="M207" t="s">
        <v>526</v>
      </c>
      <c r="P207" t="s">
        <v>1409</v>
      </c>
    </row>
    <row r="208" spans="1:19" hidden="1">
      <c r="A208" t="s">
        <v>1784</v>
      </c>
      <c r="B208" t="s">
        <v>1030</v>
      </c>
      <c r="C208" t="s">
        <v>1034</v>
      </c>
      <c r="E208" t="s">
        <v>1036</v>
      </c>
      <c r="F208">
        <v>4</v>
      </c>
      <c r="G208" t="s">
        <v>982</v>
      </c>
      <c r="H208" t="s">
        <v>980</v>
      </c>
      <c r="J208">
        <v>7581249</v>
      </c>
      <c r="M208" t="s">
        <v>527</v>
      </c>
      <c r="P208" t="s">
        <v>1409</v>
      </c>
    </row>
    <row r="209" spans="1:18" hidden="1">
      <c r="A209" t="s">
        <v>1785</v>
      </c>
      <c r="B209" t="s">
        <v>990</v>
      </c>
      <c r="C209" t="s">
        <v>991</v>
      </c>
      <c r="E209" t="s">
        <v>992</v>
      </c>
      <c r="F209">
        <v>4</v>
      </c>
      <c r="G209" t="s">
        <v>993</v>
      </c>
      <c r="J209">
        <v>7581247</v>
      </c>
      <c r="M209" t="s">
        <v>571</v>
      </c>
      <c r="P209" t="s">
        <v>1409</v>
      </c>
    </row>
    <row r="210" spans="1:18" hidden="1">
      <c r="A210" t="s">
        <v>1786</v>
      </c>
      <c r="B210" t="s">
        <v>990</v>
      </c>
      <c r="C210" t="s">
        <v>991</v>
      </c>
      <c r="E210" t="s">
        <v>992</v>
      </c>
      <c r="F210">
        <v>4</v>
      </c>
      <c r="G210" t="s">
        <v>995</v>
      </c>
      <c r="H210" t="s">
        <v>980</v>
      </c>
      <c r="I210">
        <v>1.4</v>
      </c>
      <c r="J210">
        <v>7581247</v>
      </c>
      <c r="M210" t="s">
        <v>571</v>
      </c>
      <c r="P210" t="s">
        <v>1409</v>
      </c>
    </row>
    <row r="211" spans="1:18" hidden="1">
      <c r="A211" t="s">
        <v>1787</v>
      </c>
      <c r="B211" t="s">
        <v>990</v>
      </c>
      <c r="C211" t="s">
        <v>997</v>
      </c>
      <c r="E211" t="s">
        <v>998</v>
      </c>
      <c r="F211">
        <v>4</v>
      </c>
      <c r="G211" t="s">
        <v>999</v>
      </c>
      <c r="J211">
        <v>7581247</v>
      </c>
      <c r="M211" t="s">
        <v>534</v>
      </c>
      <c r="P211" t="s">
        <v>1409</v>
      </c>
    </row>
    <row r="212" spans="1:18" hidden="1">
      <c r="A212" t="s">
        <v>1788</v>
      </c>
      <c r="B212" t="s">
        <v>990</v>
      </c>
      <c r="C212" t="s">
        <v>997</v>
      </c>
      <c r="E212" t="s">
        <v>998</v>
      </c>
      <c r="F212">
        <v>4</v>
      </c>
      <c r="G212" t="s">
        <v>487</v>
      </c>
      <c r="H212" t="s">
        <v>980</v>
      </c>
      <c r="I212">
        <v>10.9</v>
      </c>
      <c r="J212">
        <v>7581247</v>
      </c>
      <c r="M212" t="s">
        <v>534</v>
      </c>
      <c r="P212" t="s">
        <v>1409</v>
      </c>
    </row>
    <row r="213" spans="1:18" hidden="1">
      <c r="A213" t="s">
        <v>1789</v>
      </c>
      <c r="B213" t="s">
        <v>990</v>
      </c>
      <c r="C213" t="s">
        <v>1001</v>
      </c>
      <c r="E213" t="s">
        <v>1003</v>
      </c>
      <c r="F213">
        <v>4</v>
      </c>
      <c r="G213" t="s">
        <v>982</v>
      </c>
      <c r="H213" t="s">
        <v>980</v>
      </c>
      <c r="I213">
        <v>7.2</v>
      </c>
      <c r="J213">
        <v>7581247</v>
      </c>
      <c r="M213" t="s">
        <v>530</v>
      </c>
      <c r="P213" t="s">
        <v>1409</v>
      </c>
    </row>
    <row r="214" spans="1:18" hidden="1">
      <c r="A214" t="s">
        <v>1790</v>
      </c>
      <c r="B214" t="s">
        <v>1163</v>
      </c>
      <c r="C214" t="s">
        <v>1164</v>
      </c>
      <c r="E214" t="s">
        <v>1166</v>
      </c>
      <c r="F214">
        <v>4</v>
      </c>
      <c r="G214" t="s">
        <v>1040</v>
      </c>
      <c r="I214">
        <v>10.9</v>
      </c>
      <c r="J214">
        <v>7569456</v>
      </c>
      <c r="M214" t="s">
        <v>776</v>
      </c>
      <c r="P214" t="s">
        <v>1423</v>
      </c>
    </row>
    <row r="215" spans="1:18" hidden="1">
      <c r="A215" t="s">
        <v>1791</v>
      </c>
      <c r="B215" t="s">
        <v>1163</v>
      </c>
      <c r="C215" t="s">
        <v>1167</v>
      </c>
      <c r="E215" t="s">
        <v>1169</v>
      </c>
      <c r="F215">
        <v>8</v>
      </c>
      <c r="G215" t="s">
        <v>982</v>
      </c>
      <c r="I215">
        <v>15.8</v>
      </c>
      <c r="J215">
        <v>7582259</v>
      </c>
      <c r="M215" t="s">
        <v>777</v>
      </c>
      <c r="P215" t="s">
        <v>1423</v>
      </c>
      <c r="R215">
        <v>46065</v>
      </c>
    </row>
    <row r="216" spans="1:18" hidden="1">
      <c r="A216" t="s">
        <v>1792</v>
      </c>
      <c r="B216" t="s">
        <v>1163</v>
      </c>
      <c r="C216" t="s">
        <v>1171</v>
      </c>
      <c r="E216" t="s">
        <v>1173</v>
      </c>
      <c r="F216">
        <v>4</v>
      </c>
      <c r="G216" t="s">
        <v>1793</v>
      </c>
      <c r="I216">
        <v>83.7</v>
      </c>
      <c r="J216">
        <v>7582259</v>
      </c>
      <c r="M216" t="s">
        <v>1170</v>
      </c>
      <c r="P216" t="s">
        <v>1423</v>
      </c>
      <c r="R216">
        <v>46065</v>
      </c>
    </row>
    <row r="217" spans="1:18" hidden="1">
      <c r="A217" t="s">
        <v>1794</v>
      </c>
      <c r="B217" t="s">
        <v>1795</v>
      </c>
      <c r="E217" t="s">
        <v>1796</v>
      </c>
      <c r="G217" t="s">
        <v>982</v>
      </c>
      <c r="J217">
        <v>7582518</v>
      </c>
      <c r="R217">
        <v>46149</v>
      </c>
    </row>
    <row r="218" spans="1:18" hidden="1">
      <c r="A218" t="s">
        <v>1797</v>
      </c>
      <c r="G218" t="s">
        <v>1713</v>
      </c>
      <c r="J218">
        <v>7582351</v>
      </c>
      <c r="R218">
        <v>46094</v>
      </c>
    </row>
    <row r="219" spans="1:18" hidden="1">
      <c r="A219" t="s">
        <v>1798</v>
      </c>
      <c r="J219">
        <v>7568782</v>
      </c>
      <c r="R219">
        <v>46058</v>
      </c>
    </row>
    <row r="220" spans="1:18" hidden="1">
      <c r="A220" t="s">
        <v>1799</v>
      </c>
      <c r="G220" t="s">
        <v>1800</v>
      </c>
      <c r="J220">
        <v>7568782</v>
      </c>
      <c r="R220">
        <v>46058</v>
      </c>
    </row>
    <row r="221" spans="1:18" hidden="1">
      <c r="A221" t="s">
        <v>1801</v>
      </c>
      <c r="G221" t="s">
        <v>982</v>
      </c>
      <c r="J221">
        <v>7568782</v>
      </c>
      <c r="R221">
        <v>46058</v>
      </c>
    </row>
    <row r="222" spans="1:18" hidden="1">
      <c r="A222" t="s">
        <v>1802</v>
      </c>
      <c r="E222" t="s">
        <v>1796</v>
      </c>
      <c r="G222" t="s">
        <v>982</v>
      </c>
      <c r="J222">
        <v>7581951</v>
      </c>
      <c r="N222" t="s">
        <v>1426</v>
      </c>
      <c r="R222">
        <v>46114</v>
      </c>
    </row>
    <row r="223" spans="1:18" hidden="1">
      <c r="A223" t="s">
        <v>1803</v>
      </c>
      <c r="D223" t="s">
        <v>1804</v>
      </c>
    </row>
    <row r="224" spans="1:18">
      <c r="A224" t="s">
        <v>1805</v>
      </c>
      <c r="B224" t="s">
        <v>1244</v>
      </c>
      <c r="C224" t="s">
        <v>1806</v>
      </c>
      <c r="E224" t="s">
        <v>1807</v>
      </c>
      <c r="F224">
        <v>1</v>
      </c>
      <c r="G224" t="s">
        <v>995</v>
      </c>
      <c r="J224">
        <v>7580536</v>
      </c>
      <c r="M224" t="s">
        <v>1808</v>
      </c>
      <c r="N224" t="s">
        <v>1427</v>
      </c>
      <c r="P224" t="s">
        <v>1409</v>
      </c>
      <c r="R224">
        <v>46204</v>
      </c>
    </row>
    <row r="225" spans="1:18">
      <c r="A225" t="s">
        <v>1809</v>
      </c>
      <c r="B225" t="s">
        <v>1244</v>
      </c>
      <c r="C225" t="s">
        <v>1806</v>
      </c>
      <c r="D225" t="s">
        <v>1810</v>
      </c>
      <c r="E225" t="s">
        <v>1807</v>
      </c>
      <c r="F225">
        <v>1</v>
      </c>
      <c r="G225" t="s">
        <v>995</v>
      </c>
      <c r="J225">
        <v>7580536</v>
      </c>
      <c r="M225" t="s">
        <v>1808</v>
      </c>
      <c r="N225" t="s">
        <v>1427</v>
      </c>
      <c r="P225" t="s">
        <v>1409</v>
      </c>
      <c r="R225">
        <v>46204</v>
      </c>
    </row>
    <row r="226" spans="1:18">
      <c r="A226" t="s">
        <v>1811</v>
      </c>
      <c r="B226" t="s">
        <v>1244</v>
      </c>
      <c r="C226" t="s">
        <v>1812</v>
      </c>
      <c r="E226" t="s">
        <v>1813</v>
      </c>
      <c r="F226">
        <v>1</v>
      </c>
      <c r="G226" t="s">
        <v>995</v>
      </c>
      <c r="J226">
        <v>7580536</v>
      </c>
      <c r="M226" t="s">
        <v>1814</v>
      </c>
      <c r="N226" t="s">
        <v>1427</v>
      </c>
      <c r="P226" t="s">
        <v>1409</v>
      </c>
      <c r="R226">
        <v>46204</v>
      </c>
    </row>
    <row r="227" spans="1:18">
      <c r="A227" t="s">
        <v>1815</v>
      </c>
      <c r="B227" t="s">
        <v>1244</v>
      </c>
      <c r="C227" t="s">
        <v>1812</v>
      </c>
      <c r="D227" t="s">
        <v>1816</v>
      </c>
      <c r="E227" t="s">
        <v>1813</v>
      </c>
      <c r="F227">
        <v>1</v>
      </c>
      <c r="G227" t="s">
        <v>995</v>
      </c>
      <c r="J227">
        <v>7580536</v>
      </c>
      <c r="M227" t="s">
        <v>1814</v>
      </c>
      <c r="N227" t="s">
        <v>1427</v>
      </c>
      <c r="P227" t="s">
        <v>1409</v>
      </c>
      <c r="R227">
        <v>46204</v>
      </c>
    </row>
    <row r="228" spans="1:18">
      <c r="A228" t="s">
        <v>1817</v>
      </c>
      <c r="B228" t="s">
        <v>1244</v>
      </c>
      <c r="J228">
        <v>7580536</v>
      </c>
      <c r="N228" t="s">
        <v>1427</v>
      </c>
      <c r="R228">
        <v>46204</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D24A5-6AA5-42D4-AA90-CC0829EFAEBF}">
  <sheetPr codeName="Sheet5"/>
  <dimension ref="A1:Z401"/>
  <sheetViews>
    <sheetView workbookViewId="0">
      <pane xSplit="2" ySplit="2" topLeftCell="C387" activePane="bottomRight" state="frozen"/>
      <selection activeCell="B4" sqref="B4"/>
      <selection pane="topRight" activeCell="B4" sqref="B4"/>
      <selection pane="bottomLeft" activeCell="B4" sqref="B4"/>
      <selection pane="bottomRight" activeCell="D405" sqref="D405"/>
    </sheetView>
  </sheetViews>
  <sheetFormatPr defaultRowHeight="16.5"/>
  <cols>
    <col min="1" max="1" width="15.75" bestFit="1" customWidth="1"/>
    <col min="2" max="2" width="10.75" style="1" bestFit="1" customWidth="1"/>
    <col min="3" max="3" width="62.75" bestFit="1" customWidth="1"/>
    <col min="4" max="4" width="15.375" customWidth="1"/>
    <col min="5" max="5" width="5.75" bestFit="1" customWidth="1"/>
    <col min="6" max="6" width="9.5" bestFit="1" customWidth="1"/>
    <col min="7" max="7" width="6.75" bestFit="1" customWidth="1"/>
    <col min="8" max="8" width="12.75" bestFit="1" customWidth="1"/>
    <col min="9" max="9" width="35" bestFit="1" customWidth="1"/>
    <col min="10" max="10" width="73.75" bestFit="1" customWidth="1"/>
    <col min="11" max="11" width="51.375" bestFit="1" customWidth="1"/>
    <col min="12" max="12" width="3.75" bestFit="1" customWidth="1"/>
    <col min="13" max="13" width="255.625" bestFit="1" customWidth="1"/>
    <col min="14" max="14" width="6.75" bestFit="1" customWidth="1"/>
  </cols>
  <sheetData>
    <row r="1" spans="1:26" ht="89.65" customHeight="1"/>
    <row r="2" spans="1:26" ht="26.25">
      <c r="A2" s="125" t="s">
        <v>10</v>
      </c>
      <c r="B2" s="126" t="s">
        <v>957</v>
      </c>
      <c r="C2" s="125" t="s">
        <v>0</v>
      </c>
      <c r="D2" s="126" t="s">
        <v>3</v>
      </c>
      <c r="E2" s="126" t="s">
        <v>4</v>
      </c>
      <c r="F2" s="126" t="s">
        <v>5</v>
      </c>
      <c r="G2" s="125" t="s">
        <v>11</v>
      </c>
      <c r="H2" s="125" t="s">
        <v>1</v>
      </c>
      <c r="I2" s="125" t="s">
        <v>9</v>
      </c>
      <c r="J2" s="125" t="s">
        <v>6</v>
      </c>
      <c r="K2" s="127" t="s">
        <v>7</v>
      </c>
      <c r="L2" s="127" t="s">
        <v>8</v>
      </c>
      <c r="M2" s="127" t="s">
        <v>151</v>
      </c>
      <c r="N2" s="127" t="s">
        <v>958</v>
      </c>
      <c r="O2" s="127"/>
      <c r="P2" s="127"/>
      <c r="Q2" s="127"/>
      <c r="R2" s="127"/>
      <c r="S2" s="127"/>
      <c r="T2" s="127"/>
      <c r="U2" s="127"/>
      <c r="V2" s="127"/>
      <c r="W2" s="127"/>
      <c r="X2" s="127"/>
      <c r="Y2" s="127"/>
      <c r="Z2" s="127"/>
    </row>
    <row r="3" spans="1:26">
      <c r="A3" s="70" t="str">
        <f>IFERROR(G3&amp;"_"&amp;YEAR(B3)&amp;TEXT(MONTH(B3),"00")&amp;TEXT(DAY(B3),"00"),"")</f>
        <v>_20240924</v>
      </c>
      <c r="B3" s="101">
        <v>45559</v>
      </c>
      <c r="C3" s="100" t="s">
        <v>178</v>
      </c>
      <c r="D3" s="102" t="s">
        <v>521</v>
      </c>
      <c r="E3" s="99">
        <v>100</v>
      </c>
      <c r="F3" s="101">
        <v>45565</v>
      </c>
      <c r="G3" s="100" t="str">
        <f>IFERROR(VLOOKUP($C3,[5]!BOM_개발품목_1[[제품명]:[사양]],4,0),"")</f>
        <v/>
      </c>
      <c r="H3" s="100" t="str">
        <f>IFERROR(VLOOKUP($C3,[5]!BOM_개발품목_1[[제품명]:[사양]],2,0),"")</f>
        <v/>
      </c>
      <c r="I3" s="100" t="str">
        <f>IFERROR(VLOOKUP($C3,[5]!BOM_개발품목_1[[제품명]:[사양]],5,0),"")</f>
        <v/>
      </c>
      <c r="J3" s="100" t="str">
        <f>IFERROR(VLOOKUP($C3,[5]!BOM_개발품목_1[[제품명]:[사양]],7,0),"")</f>
        <v/>
      </c>
      <c r="K3" s="99" t="s">
        <v>522</v>
      </c>
      <c r="L3" s="99">
        <v>4</v>
      </c>
    </row>
    <row r="4" spans="1:26">
      <c r="A4" s="70" t="str">
        <f t="shared" ref="A4:A67" si="0">IFERROR(G4&amp;"_"&amp;YEAR(B4)&amp;TEXT(MONTH(B4),"00")&amp;TEXT(DAY(B4),"00"),"")</f>
        <v>_20240924</v>
      </c>
      <c r="B4" s="103">
        <v>45559</v>
      </c>
      <c r="C4" s="100" t="s">
        <v>523</v>
      </c>
      <c r="D4" s="92" t="s">
        <v>521</v>
      </c>
      <c r="E4">
        <v>100</v>
      </c>
      <c r="F4" s="103">
        <v>45565</v>
      </c>
      <c r="G4" s="100" t="str">
        <f>IFERROR(VLOOKUP($C4,[5]!BOM_개발품목_1[[제품명]:[사양]],4,0),"")</f>
        <v/>
      </c>
      <c r="H4" s="100" t="str">
        <f>IFERROR(VLOOKUP($C4,[5]!BOM_개발품목_1[[제품명]:[사양]],2,0),"")</f>
        <v/>
      </c>
      <c r="I4" s="100" t="str">
        <f>IFERROR(VLOOKUP($C4,[5]!BOM_개발품목_1[[제품명]:[사양]],5,0),"")</f>
        <v/>
      </c>
      <c r="J4" s="100" t="str">
        <f>IFERROR(VLOOKUP($C4,[5]!BOM_개발품목_1[[제품명]:[사양]],7,0),"")</f>
        <v/>
      </c>
      <c r="K4" t="s">
        <v>524</v>
      </c>
      <c r="M4" t="s">
        <v>525</v>
      </c>
    </row>
    <row r="5" spans="1:26">
      <c r="A5" s="70" t="str">
        <f>IFERROR(G5&amp;"_"&amp;YEAR(B5)&amp;TEXT(MONTH(B5),"00")&amp;TEXT(DAY(B5),"00"),"")</f>
        <v>_20240924</v>
      </c>
      <c r="B5" s="103">
        <v>45559</v>
      </c>
      <c r="C5" s="100" t="s">
        <v>526</v>
      </c>
      <c r="D5" t="s">
        <v>521</v>
      </c>
      <c r="E5">
        <v>100</v>
      </c>
      <c r="F5" s="103">
        <v>45565</v>
      </c>
      <c r="G5" s="100" t="str">
        <f>IFERROR(VLOOKUP($C5,[5]!BOM_개발품목_1[[제품명]:[사양]],4,0),"")</f>
        <v/>
      </c>
      <c r="H5" s="100" t="str">
        <f>IFERROR(VLOOKUP($C5,[5]!BOM_개발품목_1[[제품명]:[사양]],2,0),"")</f>
        <v/>
      </c>
      <c r="I5" s="100" t="str">
        <f>IFERROR(VLOOKUP($C5,[5]!BOM_개발품목_1[[제품명]:[사양]],5,0),"")</f>
        <v/>
      </c>
      <c r="J5" s="104" t="s">
        <v>144</v>
      </c>
      <c r="K5" t="s">
        <v>522</v>
      </c>
      <c r="L5">
        <v>4</v>
      </c>
    </row>
    <row r="6" spans="1:26">
      <c r="A6" s="70" t="str">
        <f>IFERROR(G6&amp;"_"&amp;YEAR(B6)&amp;TEXT(MONTH(B6),"00")&amp;TEXT(DAY(B6),"00"),"")</f>
        <v>_20240924</v>
      </c>
      <c r="B6" s="103">
        <v>45559</v>
      </c>
      <c r="C6" s="100" t="s">
        <v>527</v>
      </c>
      <c r="D6" t="s">
        <v>528</v>
      </c>
      <c r="E6">
        <v>100</v>
      </c>
      <c r="F6" s="103">
        <v>45565</v>
      </c>
      <c r="G6" s="100" t="str">
        <f>IFERROR(VLOOKUP($C6,[5]!BOM_개발품목_1[[제품명]:[사양]],4,0),"")</f>
        <v/>
      </c>
      <c r="H6" s="100" t="str">
        <f>IFERROR(VLOOKUP($C6,[5]!BOM_개발품목_1[[제품명]:[사양]],2,0),"")</f>
        <v/>
      </c>
      <c r="I6" s="100" t="str">
        <f>IFERROR(VLOOKUP($C6,[5]!BOM_개발품목_1[[제품명]:[사양]],5,0),"")</f>
        <v/>
      </c>
      <c r="J6" s="100" t="str">
        <f>IFERROR(VLOOKUP($C6,[5]!BOM_개발품목_1[[제품명]:[사양]],7,0),"")</f>
        <v/>
      </c>
      <c r="K6" t="s">
        <v>529</v>
      </c>
    </row>
    <row r="7" spans="1:26">
      <c r="A7" s="70" t="str">
        <f t="shared" si="0"/>
        <v>_20241008</v>
      </c>
      <c r="B7" s="103">
        <v>45573</v>
      </c>
      <c r="C7" s="100" t="s">
        <v>530</v>
      </c>
      <c r="D7" t="s">
        <v>531</v>
      </c>
      <c r="E7">
        <v>100</v>
      </c>
      <c r="F7" s="103">
        <v>45579</v>
      </c>
      <c r="G7" s="100" t="str">
        <f>IFERROR(VLOOKUP($C7,[5]!BOM_개발품목_1[[제품명]:[사양]],4,0),"")</f>
        <v/>
      </c>
      <c r="H7" s="100" t="str">
        <f>IFERROR(VLOOKUP($C7,[5]!BOM_개발품목_1[[제품명]:[사양]],2,0),"")</f>
        <v/>
      </c>
      <c r="I7" s="100" t="str">
        <f>IFERROR(VLOOKUP($C7,[5]!BOM_개발품목_1[[제품명]:[사양]],5,0),"")</f>
        <v/>
      </c>
      <c r="J7" s="100" t="str">
        <f>IFERROR(VLOOKUP($C7,[5]!BOM_개발품목_1[[제품명]:[사양]],7,0),"")</f>
        <v/>
      </c>
      <c r="K7" s="105" t="s">
        <v>532</v>
      </c>
      <c r="L7">
        <v>4</v>
      </c>
      <c r="M7" t="s">
        <v>533</v>
      </c>
    </row>
    <row r="8" spans="1:26">
      <c r="A8" s="70" t="str">
        <f t="shared" si="0"/>
        <v>_20241008</v>
      </c>
      <c r="B8" s="103">
        <v>45573</v>
      </c>
      <c r="C8" s="100" t="s">
        <v>534</v>
      </c>
      <c r="D8" t="s">
        <v>535</v>
      </c>
      <c r="E8">
        <v>100</v>
      </c>
      <c r="F8" s="103">
        <v>45579</v>
      </c>
      <c r="G8" s="100" t="str">
        <f>IFERROR(VLOOKUP($C8,[5]!BOM_개발품목_1[[제품명]:[사양]],4,0),"")</f>
        <v/>
      </c>
      <c r="H8" s="100" t="str">
        <f>IFERROR(VLOOKUP($C8,[5]!BOM_개발품목_1[[제품명]:[사양]],2,0),"")</f>
        <v/>
      </c>
      <c r="I8" s="100" t="str">
        <f>IFERROR(VLOOKUP($C8,[5]!BOM_개발품목_1[[제품명]:[사양]],5,0),"")</f>
        <v/>
      </c>
      <c r="J8" s="100" t="str">
        <f>IFERROR(VLOOKUP($C8,[5]!BOM_개발품목_1[[제품명]:[사양]],7,0),"")</f>
        <v/>
      </c>
      <c r="K8" s="106" t="s">
        <v>536</v>
      </c>
      <c r="L8">
        <v>4</v>
      </c>
      <c r="M8" t="s">
        <v>537</v>
      </c>
    </row>
    <row r="9" spans="1:26">
      <c r="A9" s="70" t="str">
        <f>IFERROR(G9&amp;"_"&amp;YEAR(B9)&amp;TEXT(MONTH(B9),"00")&amp;TEXT(DAY(B9),"00"),"")</f>
        <v>_20241010</v>
      </c>
      <c r="B9" s="103">
        <v>45575</v>
      </c>
      <c r="C9" s="100" t="s">
        <v>538</v>
      </c>
      <c r="D9" t="s">
        <v>539</v>
      </c>
      <c r="E9">
        <v>30</v>
      </c>
      <c r="F9" s="103">
        <v>45581</v>
      </c>
      <c r="G9" s="100" t="str">
        <f>IFERROR(VLOOKUP($C9,[5]!BOM_개발품목_1[[제품명]:[사양]],4,0),"")</f>
        <v/>
      </c>
      <c r="H9" s="100" t="str">
        <f>IFERROR(VLOOKUP($C9,[5]!BOM_개발품목_1[[제품명]:[사양]],2,0),"")</f>
        <v/>
      </c>
      <c r="I9" s="100" t="str">
        <f>IFERROR(VLOOKUP($C9,[5]!BOM_개발품목_1[[제품명]:[사양]],5,0),"")</f>
        <v/>
      </c>
      <c r="J9" s="104" t="s">
        <v>540</v>
      </c>
      <c r="K9" t="s">
        <v>203</v>
      </c>
      <c r="L9">
        <v>4</v>
      </c>
    </row>
    <row r="10" spans="1:26">
      <c r="A10" s="70" t="str">
        <f t="shared" si="0"/>
        <v>_20241014</v>
      </c>
      <c r="B10" s="103">
        <v>45579</v>
      </c>
      <c r="C10" s="100" t="s">
        <v>541</v>
      </c>
      <c r="D10" t="s">
        <v>542</v>
      </c>
      <c r="E10">
        <v>100</v>
      </c>
      <c r="F10" s="103">
        <v>45582</v>
      </c>
      <c r="G10" s="100" t="str">
        <f>IFERROR(VLOOKUP($C10,[5]!BOM_개발품목_1[[제품명]:[사양]],4,0),"")</f>
        <v/>
      </c>
      <c r="H10" s="100" t="str">
        <f>IFERROR(VLOOKUP($C10,[5]!BOM_개발품목_1[[제품명]:[사양]],2,0),"")</f>
        <v/>
      </c>
      <c r="I10" s="100" t="str">
        <f>IFERROR(VLOOKUP($C10,[5]!BOM_개발품목_1[[제품명]:[사양]],5,0),"")</f>
        <v/>
      </c>
      <c r="J10" s="100" t="str">
        <f>IFERROR(VLOOKUP($C10,[5]!BOM_개발품목_1[[제품명]:[사양]],7,0),"")</f>
        <v/>
      </c>
      <c r="K10" t="s">
        <v>543</v>
      </c>
    </row>
    <row r="11" spans="1:26">
      <c r="A11" s="70" t="str">
        <f t="shared" si="0"/>
        <v>_20241014</v>
      </c>
      <c r="B11" s="103">
        <v>45579</v>
      </c>
      <c r="C11" s="100" t="s">
        <v>544</v>
      </c>
      <c r="D11" t="s">
        <v>545</v>
      </c>
      <c r="E11">
        <v>100</v>
      </c>
      <c r="F11" s="103">
        <v>45582</v>
      </c>
      <c r="G11" s="100" t="str">
        <f>IFERROR(VLOOKUP($C11,[5]!BOM_개발품목_1[[제품명]:[사양]],4,0),"")</f>
        <v/>
      </c>
      <c r="H11" s="100" t="str">
        <f>IFERROR(VLOOKUP($C11,[5]!BOM_개발품목_1[[제품명]:[사양]],2,0),"")</f>
        <v/>
      </c>
      <c r="I11" s="100" t="str">
        <f>IFERROR(VLOOKUP($C11,[5]!BOM_개발품목_1[[제품명]:[사양]],5,0),"")</f>
        <v/>
      </c>
      <c r="J11" s="100" t="str">
        <f>IFERROR(VLOOKUP($C11,[5]!BOM_개발품목_1[[제품명]:[사양]],7,0),"")</f>
        <v/>
      </c>
      <c r="K11" t="s">
        <v>546</v>
      </c>
      <c r="M11" t="s">
        <v>547</v>
      </c>
    </row>
    <row r="12" spans="1:26">
      <c r="A12" s="70" t="str">
        <f t="shared" si="0"/>
        <v>_20241014</v>
      </c>
      <c r="B12" s="103">
        <v>45579</v>
      </c>
      <c r="C12" s="100" t="s">
        <v>548</v>
      </c>
      <c r="D12" t="s">
        <v>545</v>
      </c>
      <c r="E12">
        <v>100</v>
      </c>
      <c r="F12" s="103">
        <v>45582</v>
      </c>
      <c r="G12" s="100" t="str">
        <f>IFERROR(VLOOKUP($C12,[5]!BOM_개발품목_1[[제품명]:[사양]],4,0),"")</f>
        <v/>
      </c>
      <c r="H12" s="100" t="str">
        <f>IFERROR(VLOOKUP($C12,[5]!BOM_개발품목_1[[제품명]:[사양]],2,0),"")</f>
        <v/>
      </c>
      <c r="I12" s="100" t="str">
        <f>IFERROR(VLOOKUP($C12,[5]!BOM_개발품목_1[[제품명]:[사양]],5,0),"")</f>
        <v/>
      </c>
      <c r="J12" s="100" t="str">
        <f>IFERROR(VLOOKUP($C12,[5]!BOM_개발품목_1[[제품명]:[사양]],7,0),"")</f>
        <v/>
      </c>
      <c r="K12" t="s">
        <v>546</v>
      </c>
    </row>
    <row r="13" spans="1:26">
      <c r="A13" s="70" t="str">
        <f t="shared" si="0"/>
        <v>_20241014</v>
      </c>
      <c r="B13" s="103">
        <v>45579</v>
      </c>
      <c r="C13" s="100" t="s">
        <v>549</v>
      </c>
      <c r="D13" t="s">
        <v>550</v>
      </c>
      <c r="E13">
        <v>100</v>
      </c>
      <c r="F13" s="103">
        <v>45582</v>
      </c>
      <c r="G13" s="100" t="str">
        <f>IFERROR(VLOOKUP($C13,[5]!BOM_개발품목_1[[제품명]:[사양]],4,0),"")</f>
        <v/>
      </c>
      <c r="H13" s="100" t="str">
        <f>IFERROR(VLOOKUP($C13,[5]!BOM_개발품목_1[[제품명]:[사양]],2,0),"")</f>
        <v/>
      </c>
      <c r="I13" s="100" t="str">
        <f>IFERROR(VLOOKUP($C13,[5]!BOM_개발품목_1[[제품명]:[사양]],5,0),"")</f>
        <v/>
      </c>
      <c r="J13" s="100" t="str">
        <f>IFERROR(VLOOKUP($C13,[5]!BOM_개발품목_1[[제품명]:[사양]],7,0),"")</f>
        <v/>
      </c>
      <c r="K13" t="s">
        <v>551</v>
      </c>
      <c r="L13">
        <v>4</v>
      </c>
    </row>
    <row r="14" spans="1:26">
      <c r="A14" s="70" t="str">
        <f t="shared" si="0"/>
        <v>_20241014</v>
      </c>
      <c r="B14" s="103">
        <v>45579</v>
      </c>
      <c r="C14" s="100" t="s">
        <v>526</v>
      </c>
      <c r="D14" t="s">
        <v>552</v>
      </c>
      <c r="E14">
        <v>50</v>
      </c>
      <c r="F14" s="103">
        <v>45580</v>
      </c>
      <c r="G14" s="100" t="str">
        <f>IFERROR(VLOOKUP($C14,[5]!BOM_개발품목_1[[제품명]:[사양]],4,0),"")</f>
        <v/>
      </c>
      <c r="H14" s="100" t="str">
        <f>IFERROR(VLOOKUP($C14,[5]!BOM_개발품목_1[[제품명]:[사양]],2,0),"")</f>
        <v/>
      </c>
      <c r="I14" s="100" t="str">
        <f>IFERROR(VLOOKUP($C14,[5]!BOM_개발품목_1[[제품명]:[사양]],5,0),"")</f>
        <v/>
      </c>
      <c r="J14" s="100" t="str">
        <f>IFERROR(VLOOKUP($C14,[5]!BOM_개발품목_1[[제품명]:[사양]],7,0),"")</f>
        <v/>
      </c>
      <c r="K14" t="s">
        <v>553</v>
      </c>
      <c r="L14">
        <v>4</v>
      </c>
    </row>
    <row r="15" spans="1:26">
      <c r="A15" s="70" t="str">
        <f t="shared" si="0"/>
        <v>_20241014</v>
      </c>
      <c r="B15" s="103">
        <v>45579</v>
      </c>
      <c r="C15" s="100" t="s">
        <v>554</v>
      </c>
      <c r="D15" t="s">
        <v>555</v>
      </c>
      <c r="E15">
        <v>50</v>
      </c>
      <c r="F15" s="103">
        <v>45583</v>
      </c>
      <c r="G15" s="100" t="str">
        <f>IFERROR(VLOOKUP($C15,[5]!BOM_개발품목_1[[제품명]:[사양]],4,0),"")</f>
        <v/>
      </c>
      <c r="H15" s="100" t="str">
        <f>IFERROR(VLOOKUP($C15,[5]!BOM_개발품목_1[[제품명]:[사양]],2,0),"")</f>
        <v/>
      </c>
      <c r="I15" s="100" t="str">
        <f>IFERROR(VLOOKUP($C15,[5]!BOM_개발품목_1[[제품명]:[사양]],5,0),"")</f>
        <v/>
      </c>
      <c r="J15" s="100" t="str">
        <f>IFERROR(VLOOKUP($C15,[5]!BOM_개발품목_1[[제품명]:[사양]],7,0),"")</f>
        <v/>
      </c>
      <c r="K15" t="s">
        <v>148</v>
      </c>
      <c r="L15">
        <v>4</v>
      </c>
    </row>
    <row r="16" spans="1:26">
      <c r="A16" s="70" t="str">
        <f t="shared" si="0"/>
        <v>_20241014</v>
      </c>
      <c r="B16" s="103">
        <v>45579</v>
      </c>
      <c r="C16" s="100" t="s">
        <v>556</v>
      </c>
      <c r="D16" t="s">
        <v>555</v>
      </c>
      <c r="E16">
        <v>50</v>
      </c>
      <c r="F16" s="103">
        <v>45583</v>
      </c>
      <c r="G16" s="100" t="str">
        <f>IFERROR(VLOOKUP($C16,[5]!BOM_개발품목_1[[제품명]:[사양]],4,0),"")</f>
        <v/>
      </c>
      <c r="H16" s="100" t="str">
        <f>IFERROR(VLOOKUP($C16,[5]!BOM_개발품목_1[[제품명]:[사양]],2,0),"")</f>
        <v/>
      </c>
      <c r="I16" s="100" t="str">
        <f>IFERROR(VLOOKUP($C16,[5]!BOM_개발품목_1[[제품명]:[사양]],5,0),"")</f>
        <v/>
      </c>
      <c r="J16" s="100" t="str">
        <f>IFERROR(VLOOKUP($C16,[5]!BOM_개발품목_1[[제품명]:[사양]],7,0),"")</f>
        <v/>
      </c>
      <c r="K16" t="s">
        <v>147</v>
      </c>
      <c r="L16">
        <v>3</v>
      </c>
    </row>
    <row r="17" spans="1:14">
      <c r="A17" s="70" t="str">
        <f t="shared" si="0"/>
        <v>_20241014</v>
      </c>
      <c r="B17" s="103">
        <v>45579</v>
      </c>
      <c r="C17" s="100" t="s">
        <v>557</v>
      </c>
      <c r="D17" t="s">
        <v>555</v>
      </c>
      <c r="E17">
        <v>50</v>
      </c>
      <c r="F17" s="103">
        <v>45583</v>
      </c>
      <c r="G17" s="100" t="str">
        <f>IFERROR(VLOOKUP($C17,[5]!BOM_개발품목_1[[제품명]:[사양]],4,0),"")</f>
        <v/>
      </c>
      <c r="H17" s="100" t="str">
        <f>IFERROR(VLOOKUP($C17,[5]!BOM_개발품목_1[[제품명]:[사양]],2,0),"")</f>
        <v/>
      </c>
      <c r="I17" s="100" t="str">
        <f>IFERROR(VLOOKUP($C17,[5]!BOM_개발품목_1[[제품명]:[사양]],5,0),"")</f>
        <v/>
      </c>
      <c r="J17" s="100" t="str">
        <f>IFERROR(VLOOKUP($C17,[5]!BOM_개발품목_1[[제품명]:[사양]],7,0),"")</f>
        <v/>
      </c>
      <c r="K17" t="s">
        <v>149</v>
      </c>
      <c r="L17">
        <v>4</v>
      </c>
    </row>
    <row r="18" spans="1:14">
      <c r="A18" s="70" t="str">
        <f t="shared" si="0"/>
        <v>_20241014</v>
      </c>
      <c r="B18" s="103">
        <v>45579</v>
      </c>
      <c r="C18" s="100" t="s">
        <v>558</v>
      </c>
      <c r="D18" s="76" t="s">
        <v>559</v>
      </c>
      <c r="E18">
        <v>200</v>
      </c>
      <c r="F18" s="103">
        <v>45581</v>
      </c>
      <c r="G18" s="100" t="str">
        <f>IFERROR(VLOOKUP($C18,[5]!BOM_개발품목_1[[제품명]:[사양]],4,0),"")</f>
        <v/>
      </c>
      <c r="H18" s="100" t="str">
        <f>IFERROR(VLOOKUP($C18,[5]!BOM_개발품목_1[[제품명]:[사양]],2,0),"")</f>
        <v/>
      </c>
      <c r="I18" s="100" t="str">
        <f>IFERROR(VLOOKUP($C18,[5]!BOM_개발품목_1[[제품명]:[사양]],5,0),"")</f>
        <v/>
      </c>
      <c r="J18" s="100" t="str">
        <f>IFERROR(VLOOKUP($C18,[5]!BOM_개발품목_1[[제품명]:[사양]],7,0),"")</f>
        <v/>
      </c>
      <c r="K18" t="s">
        <v>77</v>
      </c>
      <c r="M18" t="s">
        <v>560</v>
      </c>
    </row>
    <row r="19" spans="1:14">
      <c r="A19" s="70" t="str">
        <f t="shared" si="0"/>
        <v>_20241014</v>
      </c>
      <c r="B19" s="103">
        <v>45579</v>
      </c>
      <c r="C19" s="100" t="s">
        <v>561</v>
      </c>
      <c r="D19" s="76" t="s">
        <v>559</v>
      </c>
      <c r="E19">
        <v>200</v>
      </c>
      <c r="F19" s="103">
        <v>45581</v>
      </c>
      <c r="G19" s="100" t="str">
        <f>IFERROR(VLOOKUP($C19,[5]!BOM_개발품목_1[[제품명]:[사양]],4,0),"")</f>
        <v/>
      </c>
      <c r="H19" s="100" t="str">
        <f>IFERROR(VLOOKUP($C19,[5]!BOM_개발품목_1[[제품명]:[사양]],2,0),"")</f>
        <v/>
      </c>
      <c r="I19" s="100" t="str">
        <f>IFERROR(VLOOKUP($C19,[5]!BOM_개발품목_1[[제품명]:[사양]],5,0),"")</f>
        <v/>
      </c>
      <c r="J19" s="100" t="str">
        <f>IFERROR(VLOOKUP($C19,[5]!BOM_개발품목_1[[제품명]:[사양]],7,0),"")</f>
        <v/>
      </c>
      <c r="K19" t="s">
        <v>77</v>
      </c>
    </row>
    <row r="20" spans="1:14">
      <c r="A20" s="70" t="str">
        <f t="shared" si="0"/>
        <v>_20241016</v>
      </c>
      <c r="B20" s="103">
        <v>45581</v>
      </c>
      <c r="C20" s="100" t="s">
        <v>562</v>
      </c>
      <c r="D20" t="s">
        <v>563</v>
      </c>
      <c r="E20">
        <v>200</v>
      </c>
      <c r="F20" s="103">
        <v>45593</v>
      </c>
      <c r="G20" s="100" t="str">
        <f>IFERROR(VLOOKUP($C20,[5]!BOM_개발품목_1[[제품명]:[사양]],4,0),"")</f>
        <v/>
      </c>
      <c r="H20" s="100" t="str">
        <f>IFERROR(VLOOKUP($C20,[5]!BOM_개발품목_1[[제품명]:[사양]],2,0),"")</f>
        <v/>
      </c>
      <c r="I20" s="100" t="str">
        <f>IFERROR(VLOOKUP($C20,[5]!BOM_개발품목_1[[제품명]:[사양]],5,0),"")</f>
        <v/>
      </c>
      <c r="J20" s="104" t="s">
        <v>564</v>
      </c>
      <c r="K20" t="s">
        <v>565</v>
      </c>
      <c r="M20" t="s">
        <v>566</v>
      </c>
    </row>
    <row r="21" spans="1:14">
      <c r="A21" s="70" t="str">
        <f t="shared" si="0"/>
        <v>_20241017</v>
      </c>
      <c r="B21" s="103">
        <v>45582</v>
      </c>
      <c r="C21" s="100" t="s">
        <v>530</v>
      </c>
      <c r="D21" t="s">
        <v>567</v>
      </c>
      <c r="E21">
        <v>400</v>
      </c>
      <c r="F21" s="103">
        <v>45587</v>
      </c>
      <c r="G21" s="100" t="str">
        <f>IFERROR(VLOOKUP($C21,[5]!BOM_개발품목_1[[제품명]:[사양]],4,0),"")</f>
        <v/>
      </c>
      <c r="H21" s="100" t="str">
        <f>IFERROR(VLOOKUP($C21,[5]!BOM_개발품목_1[[제품명]:[사양]],2,0),"")</f>
        <v/>
      </c>
      <c r="I21" s="100" t="str">
        <f>IFERROR(VLOOKUP($C21,[5]!BOM_개발품목_1[[제품명]:[사양]],5,0),"")</f>
        <v/>
      </c>
      <c r="J21" s="100" t="str">
        <f>IFERROR(VLOOKUP($C21,[5]!BOM_개발품목_1[[제품명]:[사양]],7,0),"")</f>
        <v/>
      </c>
      <c r="K21" t="s">
        <v>568</v>
      </c>
      <c r="M21" t="s">
        <v>569</v>
      </c>
    </row>
    <row r="22" spans="1:14">
      <c r="A22" s="70" t="str">
        <f t="shared" si="0"/>
        <v>_20241017</v>
      </c>
      <c r="B22" s="103">
        <v>45582</v>
      </c>
      <c r="C22" s="100" t="s">
        <v>534</v>
      </c>
      <c r="D22" t="s">
        <v>570</v>
      </c>
      <c r="E22">
        <v>300</v>
      </c>
      <c r="F22" s="103">
        <v>45587</v>
      </c>
      <c r="G22" s="100" t="str">
        <f>IFERROR(VLOOKUP($C22,[5]!BOM_개발품목_1[[제품명]:[사양]],4,0),"")</f>
        <v/>
      </c>
      <c r="H22" s="100" t="str">
        <f>IFERROR(VLOOKUP($C22,[5]!BOM_개발품목_1[[제품명]:[사양]],2,0),"")</f>
        <v/>
      </c>
      <c r="I22" s="100" t="str">
        <f>IFERROR(VLOOKUP($C22,[5]!BOM_개발품목_1[[제품명]:[사양]],5,0),"")</f>
        <v/>
      </c>
      <c r="J22" s="100" t="str">
        <f>IFERROR(VLOOKUP($C22,[5]!BOM_개발품목_1[[제품명]:[사양]],7,0),"")</f>
        <v/>
      </c>
    </row>
    <row r="23" spans="1:14">
      <c r="A23" s="70" t="str">
        <f t="shared" si="0"/>
        <v>_20241017</v>
      </c>
      <c r="B23" s="103">
        <v>45582</v>
      </c>
      <c r="C23" s="100" t="s">
        <v>571</v>
      </c>
      <c r="D23" t="s">
        <v>572</v>
      </c>
      <c r="E23">
        <v>400</v>
      </c>
      <c r="F23" s="103">
        <v>45587</v>
      </c>
      <c r="G23" s="100" t="str">
        <f>IFERROR(VLOOKUP($C23,[5]!BOM_개발품목_1[[제품명]:[사양]],4,0),"")</f>
        <v/>
      </c>
      <c r="H23" s="100" t="str">
        <f>IFERROR(VLOOKUP($C23,[5]!BOM_개발품목_1[[제품명]:[사양]],2,0),"")</f>
        <v/>
      </c>
      <c r="I23" s="100" t="str">
        <f>IFERROR(VLOOKUP($C23,[5]!BOM_개발품목_1[[제품명]:[사양]],5,0),"")</f>
        <v/>
      </c>
      <c r="J23" s="100" t="str">
        <f>IFERROR(VLOOKUP($C23,[5]!BOM_개발품목_1[[제품명]:[사양]],7,0),"")</f>
        <v/>
      </c>
      <c r="K23" t="s">
        <v>573</v>
      </c>
    </row>
    <row r="24" spans="1:14">
      <c r="A24" s="70" t="str">
        <f t="shared" si="0"/>
        <v>_20241017</v>
      </c>
      <c r="B24" s="103">
        <v>45582</v>
      </c>
      <c r="C24" s="100" t="s">
        <v>178</v>
      </c>
      <c r="D24" t="s">
        <v>570</v>
      </c>
      <c r="E24">
        <v>300</v>
      </c>
      <c r="F24" s="103">
        <v>45588</v>
      </c>
      <c r="G24" s="100" t="str">
        <f>IFERROR(VLOOKUP($C24,[5]!BOM_개발품목_1[[제품명]:[사양]],4,0),"")</f>
        <v/>
      </c>
      <c r="H24" s="100" t="str">
        <f>IFERROR(VLOOKUP($C24,[5]!BOM_개발품목_1[[제품명]:[사양]],2,0),"")</f>
        <v/>
      </c>
      <c r="I24" s="100" t="str">
        <f>IFERROR(VLOOKUP($C24,[5]!BOM_개발품목_1[[제품명]:[사양]],5,0),"")</f>
        <v/>
      </c>
      <c r="J24" s="100" t="str">
        <f>IFERROR(VLOOKUP($C24,[5]!BOM_개발품목_1[[제품명]:[사양]],7,0),"")</f>
        <v/>
      </c>
      <c r="K24" t="s">
        <v>182</v>
      </c>
    </row>
    <row r="25" spans="1:14">
      <c r="A25" s="70" t="str">
        <f t="shared" si="0"/>
        <v>_20241017</v>
      </c>
      <c r="B25" s="103">
        <v>45582</v>
      </c>
      <c r="C25" s="100" t="s">
        <v>523</v>
      </c>
      <c r="D25" t="s">
        <v>570</v>
      </c>
      <c r="E25">
        <v>300</v>
      </c>
      <c r="F25" s="103">
        <v>45588</v>
      </c>
      <c r="G25" s="100" t="str">
        <f>IFERROR(VLOOKUP($C25,[5]!BOM_개발품목_1[[제품명]:[사양]],4,0),"")</f>
        <v/>
      </c>
      <c r="H25" s="100" t="str">
        <f>IFERROR(VLOOKUP($C25,[5]!BOM_개발품목_1[[제품명]:[사양]],2,0),"")</f>
        <v/>
      </c>
      <c r="I25" s="100" t="str">
        <f>IFERROR(VLOOKUP($C25,[5]!BOM_개발품목_1[[제품명]:[사양]],5,0),"")</f>
        <v/>
      </c>
      <c r="J25" s="100" t="str">
        <f>IFERROR(VLOOKUP($C25,[5]!BOM_개발품목_1[[제품명]:[사양]],7,0),"")</f>
        <v/>
      </c>
      <c r="K25" t="s">
        <v>147</v>
      </c>
      <c r="L25">
        <v>3</v>
      </c>
    </row>
    <row r="26" spans="1:14">
      <c r="A26" s="70" t="str">
        <f t="shared" si="0"/>
        <v>_20241017</v>
      </c>
      <c r="B26" s="103">
        <v>45582</v>
      </c>
      <c r="C26" s="100" t="s">
        <v>526</v>
      </c>
      <c r="D26" t="s">
        <v>570</v>
      </c>
      <c r="E26">
        <v>300</v>
      </c>
      <c r="F26" s="103">
        <v>45589</v>
      </c>
      <c r="G26" s="100" t="str">
        <f>IFERROR(VLOOKUP($C26,[5]!BOM_개발품목_1[[제품명]:[사양]],4,0),"")</f>
        <v/>
      </c>
      <c r="H26" s="100" t="str">
        <f>IFERROR(VLOOKUP($C26,[5]!BOM_개발품목_1[[제품명]:[사양]],2,0),"")</f>
        <v/>
      </c>
      <c r="I26" s="100" t="str">
        <f>IFERROR(VLOOKUP($C26,[5]!BOM_개발품목_1[[제품명]:[사양]],5,0),"")</f>
        <v/>
      </c>
      <c r="J26" s="100" t="str">
        <f>IFERROR(VLOOKUP($C26,[5]!BOM_개발품목_1[[제품명]:[사양]],7,0),"")</f>
        <v/>
      </c>
      <c r="K26" t="s">
        <v>182</v>
      </c>
    </row>
    <row r="27" spans="1:14">
      <c r="A27" s="70" t="str">
        <f t="shared" si="0"/>
        <v>_20241017</v>
      </c>
      <c r="B27" s="103">
        <v>45582</v>
      </c>
      <c r="C27" s="100" t="s">
        <v>527</v>
      </c>
      <c r="D27" t="s">
        <v>570</v>
      </c>
      <c r="E27">
        <v>300</v>
      </c>
      <c r="F27" s="103">
        <v>45589</v>
      </c>
      <c r="G27" s="100" t="str">
        <f>IFERROR(VLOOKUP($C27,[5]!BOM_개발품목_1[[제품명]:[사양]],4,0),"")</f>
        <v/>
      </c>
      <c r="H27" s="100" t="str">
        <f>IFERROR(VLOOKUP($C27,[5]!BOM_개발품목_1[[제품명]:[사양]],2,0),"")</f>
        <v/>
      </c>
      <c r="I27" s="100" t="str">
        <f>IFERROR(VLOOKUP($C27,[5]!BOM_개발품목_1[[제품명]:[사양]],5,0),"")</f>
        <v/>
      </c>
      <c r="J27" s="100" t="str">
        <f>IFERROR(VLOOKUP($C27,[5]!BOM_개발품목_1[[제품명]:[사양]],7,0),"")</f>
        <v/>
      </c>
      <c r="K27" t="s">
        <v>182</v>
      </c>
    </row>
    <row r="28" spans="1:14">
      <c r="A28" s="70" t="str">
        <f>IFERROR(G28&amp;"_"&amp;YEAR(B28)&amp;TEXT(MONTH(B28),"00")&amp;TEXT(DAY(B28),"00"),"")</f>
        <v>_20241018</v>
      </c>
      <c r="B28" s="103">
        <v>45583</v>
      </c>
      <c r="C28" s="100" t="s">
        <v>574</v>
      </c>
      <c r="D28" t="s">
        <v>575</v>
      </c>
      <c r="E28">
        <v>100</v>
      </c>
      <c r="F28" s="103">
        <v>45587</v>
      </c>
      <c r="G28" s="100" t="str">
        <f>IFERROR(VLOOKUP($C28,[5]!BOM_개발품목_1[[제품명]:[사양]],4,0),"")</f>
        <v/>
      </c>
      <c r="H28" s="100" t="str">
        <f>IFERROR(VLOOKUP($C28,[5]!BOM_개발품목_1[[제품명]:[사양]],2,0),"")</f>
        <v/>
      </c>
      <c r="I28" s="100" t="str">
        <f>IFERROR(VLOOKUP($C28,[5]!BOM_개발품목_1[[제품명]:[사양]],5,0),"")</f>
        <v/>
      </c>
      <c r="J28" s="100" t="str">
        <f>IFERROR(VLOOKUP($C28,[5]!BOM_개발품목_1[[제품명]:[사양]],7,0),"")</f>
        <v/>
      </c>
      <c r="K28" t="s">
        <v>576</v>
      </c>
      <c r="L28">
        <v>3</v>
      </c>
      <c r="M28" t="s">
        <v>577</v>
      </c>
    </row>
    <row r="29" spans="1:14">
      <c r="A29" s="70" t="str">
        <f t="shared" si="0"/>
        <v>_20241019</v>
      </c>
      <c r="B29" s="103">
        <v>45584</v>
      </c>
      <c r="C29" s="100" t="s">
        <v>578</v>
      </c>
      <c r="D29" t="s">
        <v>579</v>
      </c>
      <c r="E29">
        <v>200</v>
      </c>
      <c r="F29" s="103"/>
      <c r="G29" s="100" t="str">
        <f>IFERROR(VLOOKUP($C29,[5]!BOM_개발품목_1[[제품명]:[사양]],4,0),"")</f>
        <v/>
      </c>
      <c r="H29" s="100" t="str">
        <f>IFERROR(VLOOKUP($C29,[5]!BOM_개발품목_1[[제품명]:[사양]],2,0),"")</f>
        <v/>
      </c>
      <c r="I29" s="100" t="str">
        <f>IFERROR(VLOOKUP($C29,[5]!BOM_개발품목_1[[제품명]:[사양]],5,0),"")</f>
        <v/>
      </c>
      <c r="J29" s="104" t="s">
        <v>580</v>
      </c>
      <c r="K29" t="s">
        <v>581</v>
      </c>
      <c r="M29" t="s">
        <v>582</v>
      </c>
    </row>
    <row r="30" spans="1:14">
      <c r="A30" s="70" t="str">
        <f t="shared" si="0"/>
        <v>_20241019</v>
      </c>
      <c r="B30" s="103">
        <v>45584</v>
      </c>
      <c r="C30" s="100" t="s">
        <v>583</v>
      </c>
      <c r="D30" t="s">
        <v>584</v>
      </c>
      <c r="E30">
        <v>200</v>
      </c>
      <c r="G30" s="100" t="str">
        <f>IFERROR(VLOOKUP($C30,[5]!BOM_개발품목_1[[제품명]:[사양]],4,0),"")</f>
        <v/>
      </c>
      <c r="H30" s="100" t="str">
        <f>IFERROR(VLOOKUP($C30,[5]!BOM_개발품목_1[[제품명]:[사양]],2,0),"")</f>
        <v/>
      </c>
      <c r="I30" s="100" t="str">
        <f>IFERROR(VLOOKUP($C30,[5]!BOM_개발품목_1[[제품명]:[사양]],5,0),"")</f>
        <v/>
      </c>
      <c r="J30" s="100" t="str">
        <f>IFERROR(VLOOKUP($C30,[5]!BOM_개발품목_1[[제품명]:[사양]],7,0),"")</f>
        <v/>
      </c>
      <c r="M30" t="s">
        <v>585</v>
      </c>
      <c r="N30" t="s">
        <v>586</v>
      </c>
    </row>
    <row r="31" spans="1:14">
      <c r="A31" s="70" t="str">
        <f t="shared" si="0"/>
        <v>_20241022</v>
      </c>
      <c r="B31" s="103">
        <v>45587</v>
      </c>
      <c r="C31" s="100" t="s">
        <v>587</v>
      </c>
      <c r="D31" t="s">
        <v>588</v>
      </c>
      <c r="E31">
        <v>100</v>
      </c>
      <c r="F31" s="103">
        <v>45595</v>
      </c>
      <c r="G31" s="100" t="str">
        <f>IFERROR(VLOOKUP($C31,[5]!BOM_개발품목_1[[제품명]:[사양]],4,0),"")</f>
        <v/>
      </c>
      <c r="H31" s="100" t="str">
        <f>IFERROR(VLOOKUP($C31,[5]!BOM_개발품목_1[[제품명]:[사양]],2,0),"")</f>
        <v/>
      </c>
      <c r="I31" s="100" t="str">
        <f>IFERROR(VLOOKUP($C31,[5]!BOM_개발품목_1[[제품명]:[사양]],5,0),"")</f>
        <v/>
      </c>
      <c r="J31" s="100" t="str">
        <f>IFERROR(VLOOKUP($C31,[5]!BOM_개발품목_1[[제품명]:[사양]],7,0),"")</f>
        <v/>
      </c>
      <c r="K31" t="s">
        <v>589</v>
      </c>
      <c r="L31">
        <v>5</v>
      </c>
    </row>
    <row r="32" spans="1:14">
      <c r="A32" s="70" t="str">
        <f t="shared" si="0"/>
        <v>_20241022</v>
      </c>
      <c r="B32" s="103">
        <v>45587</v>
      </c>
      <c r="C32" s="100" t="s">
        <v>590</v>
      </c>
      <c r="D32" t="s">
        <v>588</v>
      </c>
      <c r="E32">
        <v>100</v>
      </c>
      <c r="F32" s="103">
        <v>45595</v>
      </c>
      <c r="G32" s="100" t="str">
        <f>IFERROR(VLOOKUP($C32,[5]!BOM_개발품목_1[[제품명]:[사양]],4,0),"")</f>
        <v/>
      </c>
      <c r="H32" s="100" t="str">
        <f>IFERROR(VLOOKUP($C32,[5]!BOM_개발품목_1[[제품명]:[사양]],2,0),"")</f>
        <v/>
      </c>
      <c r="I32" s="100" t="str">
        <f>IFERROR(VLOOKUP($C32,[5]!BOM_개발품목_1[[제품명]:[사양]],5,0),"")</f>
        <v/>
      </c>
      <c r="J32" s="100" t="str">
        <f>IFERROR(VLOOKUP($C32,[5]!BOM_개발품목_1[[제품명]:[사양]],7,0),"")</f>
        <v/>
      </c>
      <c r="K32" t="s">
        <v>591</v>
      </c>
      <c r="L32">
        <v>5</v>
      </c>
    </row>
    <row r="33" spans="1:13">
      <c r="A33" s="70" t="str">
        <f t="shared" si="0"/>
        <v>_20241026</v>
      </c>
      <c r="B33" s="103">
        <v>45591</v>
      </c>
      <c r="C33" s="100" t="s">
        <v>592</v>
      </c>
      <c r="D33" t="s">
        <v>593</v>
      </c>
      <c r="E33">
        <v>80</v>
      </c>
      <c r="F33" s="103">
        <v>45595</v>
      </c>
      <c r="G33" s="100" t="str">
        <f>IFERROR(VLOOKUP($C33,[5]!BOM_개발품목_1[[제품명]:[사양]],4,0),"")</f>
        <v/>
      </c>
      <c r="H33" s="100" t="str">
        <f>IFERROR(VLOOKUP($C33,[5]!BOM_개발품목_1[[제품명]:[사양]],2,0),"")</f>
        <v/>
      </c>
      <c r="I33" s="100" t="str">
        <f>IFERROR(VLOOKUP($C33,[5]!BOM_개발품목_1[[제품명]:[사양]],5,0),"")</f>
        <v/>
      </c>
      <c r="J33" s="100" t="str">
        <f>IFERROR(VLOOKUP($C33,[5]!BOM_개발품목_1[[제품명]:[사양]],7,0),"")</f>
        <v/>
      </c>
    </row>
    <row r="34" spans="1:13">
      <c r="A34" s="70" t="str">
        <f t="shared" si="0"/>
        <v>_20241026</v>
      </c>
      <c r="B34" s="103">
        <v>45591</v>
      </c>
      <c r="C34" s="100" t="s">
        <v>594</v>
      </c>
      <c r="D34" t="s">
        <v>528</v>
      </c>
      <c r="E34">
        <v>80</v>
      </c>
      <c r="F34" s="103">
        <v>45595</v>
      </c>
      <c r="G34" s="100" t="str">
        <f>IFERROR(VLOOKUP($C34,[5]!BOM_개발품목_1[[제품명]:[사양]],4,0),"")</f>
        <v/>
      </c>
      <c r="H34" s="100" t="str">
        <f>IFERROR(VLOOKUP($C34,[5]!BOM_개발품목_1[[제품명]:[사양]],2,0),"")</f>
        <v/>
      </c>
      <c r="I34" s="100" t="str">
        <f>IFERROR(VLOOKUP($C34,[5]!BOM_개발품목_1[[제품명]:[사양]],5,0),"")</f>
        <v/>
      </c>
      <c r="J34" s="100" t="str">
        <f>IFERROR(VLOOKUP($C34,[5]!BOM_개발품목_1[[제품명]:[사양]],7,0),"")</f>
        <v/>
      </c>
      <c r="K34" t="s">
        <v>595</v>
      </c>
    </row>
    <row r="35" spans="1:13">
      <c r="A35" s="70" t="str">
        <f t="shared" si="0"/>
        <v>_20241026</v>
      </c>
      <c r="B35" s="103">
        <v>45591</v>
      </c>
      <c r="C35" s="100" t="s">
        <v>596</v>
      </c>
      <c r="D35" t="s">
        <v>528</v>
      </c>
      <c r="E35">
        <v>80</v>
      </c>
      <c r="F35" s="103">
        <v>45595</v>
      </c>
      <c r="G35" s="100" t="str">
        <f>IFERROR(VLOOKUP($C35,[5]!BOM_개발품목_1[[제품명]:[사양]],4,0),"")</f>
        <v/>
      </c>
      <c r="H35" s="100" t="str">
        <f>IFERROR(VLOOKUP($C35,[5]!BOM_개발품목_1[[제품명]:[사양]],2,0),"")</f>
        <v/>
      </c>
      <c r="I35" s="100" t="str">
        <f>IFERROR(VLOOKUP($C35,[5]!BOM_개발품목_1[[제품명]:[사양]],5,0),"")</f>
        <v/>
      </c>
      <c r="J35" s="100" t="str">
        <f>IFERROR(VLOOKUP($C35,[5]!BOM_개발품목_1[[제품명]:[사양]],7,0),"")</f>
        <v/>
      </c>
    </row>
    <row r="36" spans="1:13">
      <c r="A36" s="70" t="str">
        <f t="shared" si="0"/>
        <v>_20241026</v>
      </c>
      <c r="B36" s="103">
        <v>45591</v>
      </c>
      <c r="C36" s="100" t="s">
        <v>597</v>
      </c>
      <c r="D36" t="s">
        <v>528</v>
      </c>
      <c r="E36">
        <v>80</v>
      </c>
      <c r="F36" s="103">
        <v>45595</v>
      </c>
      <c r="G36" s="100" t="str">
        <f>IFERROR(VLOOKUP($C36,[5]!BOM_개발품목_1[[제품명]:[사양]],4,0),"")</f>
        <v/>
      </c>
      <c r="H36" s="100" t="str">
        <f>IFERROR(VLOOKUP($C36,[5]!BOM_개발품목_1[[제품명]:[사양]],2,0),"")</f>
        <v/>
      </c>
      <c r="I36" s="100" t="str">
        <f>IFERROR(VLOOKUP($C36,[5]!BOM_개발품목_1[[제품명]:[사양]],5,0),"")</f>
        <v/>
      </c>
      <c r="J36" s="100" t="str">
        <f>IFERROR(VLOOKUP($C36,[5]!BOM_개발품목_1[[제품명]:[사양]],7,0),"")</f>
        <v/>
      </c>
    </row>
    <row r="37" spans="1:13">
      <c r="A37" s="70" t="str">
        <f t="shared" si="0"/>
        <v>SI1519_20241028</v>
      </c>
      <c r="B37" s="103">
        <v>45593</v>
      </c>
      <c r="C37" s="100" t="s">
        <v>538</v>
      </c>
      <c r="D37" t="s">
        <v>598</v>
      </c>
      <c r="E37">
        <v>40</v>
      </c>
      <c r="F37" s="103">
        <v>45594</v>
      </c>
      <c r="G37" s="100" t="s">
        <v>599</v>
      </c>
      <c r="H37" s="100" t="str">
        <f>IFERROR(VLOOKUP($C37,[5]!BOM_개발품목_1[[제품명]:[사양]],2,0),"")</f>
        <v/>
      </c>
      <c r="I37" s="100" t="str">
        <f>IFERROR(VLOOKUP($C37,[5]!BOM_개발품목_1[[제품명]:[사양]],5,0),"")</f>
        <v/>
      </c>
      <c r="J37" s="104" t="s">
        <v>540</v>
      </c>
      <c r="K37" t="s">
        <v>203</v>
      </c>
      <c r="L37">
        <v>4</v>
      </c>
    </row>
    <row r="38" spans="1:13">
      <c r="A38" s="70" t="str">
        <f t="shared" si="0"/>
        <v>_20241028</v>
      </c>
      <c r="B38" s="103">
        <v>45593</v>
      </c>
      <c r="C38" s="100" t="s">
        <v>561</v>
      </c>
      <c r="D38" t="s">
        <v>600</v>
      </c>
      <c r="E38">
        <v>40</v>
      </c>
      <c r="F38" s="103">
        <v>45594</v>
      </c>
      <c r="G38" s="100" t="str">
        <f>IFERROR(VLOOKUP($C38,[5]!BOM_개발품목_1[[제품명]:[사양]],4,0),"")</f>
        <v/>
      </c>
      <c r="H38" s="100" t="str">
        <f>IFERROR(VLOOKUP($C38,[5]!BOM_개발품목_1[[제품명]:[사양]],2,0),"")</f>
        <v/>
      </c>
      <c r="I38" s="100" t="str">
        <f>IFERROR(VLOOKUP($C38,[5]!BOM_개발품목_1[[제품명]:[사양]],5,0),"")</f>
        <v/>
      </c>
      <c r="J38" s="104" t="s">
        <v>197</v>
      </c>
    </row>
    <row r="39" spans="1:13">
      <c r="A39" s="70" t="str">
        <f t="shared" si="0"/>
        <v>SI1522_20241028</v>
      </c>
      <c r="B39" s="103">
        <v>45593</v>
      </c>
      <c r="C39" s="100" t="s">
        <v>601</v>
      </c>
      <c r="D39" t="s">
        <v>600</v>
      </c>
      <c r="E39">
        <v>40</v>
      </c>
      <c r="F39" s="103">
        <v>45594</v>
      </c>
      <c r="G39" s="100" t="s">
        <v>602</v>
      </c>
      <c r="H39" s="100" t="str">
        <f>IFERROR(VLOOKUP($C39,[5]!BOM_개발품목_1[[제품명]:[사양]],2,0),"")</f>
        <v/>
      </c>
      <c r="I39" s="100" t="str">
        <f>IFERROR(VLOOKUP($C39,[5]!BOM_개발품목_1[[제품명]:[사양]],5,0),"")</f>
        <v/>
      </c>
      <c r="J39" s="100" t="str">
        <f>IFERROR(VLOOKUP($C39,[5]!BOM_개발품목_1[[제품명]:[사양]],7,0),"")</f>
        <v/>
      </c>
      <c r="K39" t="s">
        <v>603</v>
      </c>
      <c r="L39">
        <v>3</v>
      </c>
    </row>
    <row r="40" spans="1:13">
      <c r="A40" s="70" t="str">
        <f t="shared" si="0"/>
        <v>_20241028</v>
      </c>
      <c r="B40" s="103">
        <v>45593</v>
      </c>
      <c r="C40" s="100" t="s">
        <v>558</v>
      </c>
      <c r="D40" t="s">
        <v>600</v>
      </c>
      <c r="E40">
        <v>40</v>
      </c>
      <c r="F40" s="103">
        <v>45594</v>
      </c>
      <c r="G40" s="100" t="str">
        <f>IFERROR(VLOOKUP($C40,[5]!BOM_개발품목_1[[제품명]:[사양]],4,0),"")</f>
        <v/>
      </c>
      <c r="H40" s="100" t="str">
        <f>IFERROR(VLOOKUP($C40,[5]!BOM_개발품목_1[[제품명]:[사양]],2,0),"")</f>
        <v/>
      </c>
      <c r="I40" s="100" t="str">
        <f>IFERROR(VLOOKUP($C40,[5]!BOM_개발품목_1[[제품명]:[사양]],5,0),"")</f>
        <v/>
      </c>
      <c r="J40" s="104" t="s">
        <v>197</v>
      </c>
    </row>
    <row r="41" spans="1:13">
      <c r="A41" s="70" t="str">
        <f t="shared" si="0"/>
        <v>_20241028</v>
      </c>
      <c r="B41" s="103">
        <v>45593</v>
      </c>
      <c r="C41" s="100" t="s">
        <v>604</v>
      </c>
      <c r="D41" t="s">
        <v>600</v>
      </c>
      <c r="E41">
        <v>40</v>
      </c>
      <c r="F41" s="103">
        <v>45594</v>
      </c>
      <c r="G41" s="100" t="str">
        <f>IFERROR(VLOOKUP($C41,[5]!BOM_개발품목_1[[제품명]:[사양]],4,0),"")</f>
        <v/>
      </c>
      <c r="H41" s="100" t="str">
        <f>IFERROR(VLOOKUP($C41,[5]!BOM_개발품목_1[[제품명]:[사양]],2,0),"")</f>
        <v/>
      </c>
      <c r="I41" s="100" t="str">
        <f>IFERROR(VLOOKUP($C41,[5]!BOM_개발품목_1[[제품명]:[사양]],5,0),"")</f>
        <v/>
      </c>
      <c r="J41" s="104" t="s">
        <v>197</v>
      </c>
    </row>
    <row r="42" spans="1:13">
      <c r="A42" s="70" t="str">
        <f t="shared" si="0"/>
        <v>_20241029</v>
      </c>
      <c r="B42" s="103">
        <v>45594</v>
      </c>
      <c r="C42" s="100" t="s">
        <v>544</v>
      </c>
      <c r="D42" t="s">
        <v>605</v>
      </c>
      <c r="E42">
        <v>50</v>
      </c>
      <c r="F42" s="103">
        <v>45596</v>
      </c>
      <c r="G42" s="100" t="str">
        <f>IFERROR(VLOOKUP($C42,[5]!BOM_개발품목_1[[제품명]:[사양]],4,0),"")</f>
        <v/>
      </c>
      <c r="H42" s="100" t="str">
        <f>IFERROR(VLOOKUP($C42,[5]!BOM_개발품목_1[[제품명]:[사양]],2,0),"")</f>
        <v/>
      </c>
      <c r="I42" s="100" t="str">
        <f>IFERROR(VLOOKUP($C42,[5]!BOM_개발품목_1[[제품명]:[사양]],5,0),"")</f>
        <v/>
      </c>
      <c r="J42" s="100" t="str">
        <f>IFERROR(VLOOKUP($C42,[5]!BOM_개발품목_1[[제품명]:[사양]],7,0),"")</f>
        <v/>
      </c>
      <c r="K42" t="s">
        <v>546</v>
      </c>
      <c r="M42" t="s">
        <v>606</v>
      </c>
    </row>
    <row r="43" spans="1:13">
      <c r="A43" s="70" t="str">
        <f t="shared" si="0"/>
        <v>_20241029</v>
      </c>
      <c r="B43" s="103">
        <v>45594</v>
      </c>
      <c r="C43" s="100" t="s">
        <v>548</v>
      </c>
      <c r="D43" t="s">
        <v>605</v>
      </c>
      <c r="E43">
        <v>50</v>
      </c>
      <c r="F43" s="103">
        <v>45596</v>
      </c>
      <c r="G43" s="100" t="str">
        <f>IFERROR(VLOOKUP($C43,[5]!BOM_개발품목_1[[제품명]:[사양]],4,0),"")</f>
        <v/>
      </c>
      <c r="H43" s="100" t="str">
        <f>IFERROR(VLOOKUP($C43,[5]!BOM_개발품목_1[[제품명]:[사양]],2,0),"")</f>
        <v/>
      </c>
      <c r="I43" s="100" t="str">
        <f>IFERROR(VLOOKUP($C43,[5]!BOM_개발품목_1[[제품명]:[사양]],5,0),"")</f>
        <v/>
      </c>
      <c r="J43" s="100" t="str">
        <f>IFERROR(VLOOKUP($C43,[5]!BOM_개발품목_1[[제품명]:[사양]],7,0),"")</f>
        <v/>
      </c>
      <c r="K43" t="s">
        <v>546</v>
      </c>
      <c r="M43" t="s">
        <v>606</v>
      </c>
    </row>
    <row r="44" spans="1:13">
      <c r="A44" s="70" t="str">
        <f t="shared" si="0"/>
        <v>_20241029</v>
      </c>
      <c r="B44" s="103">
        <v>45594</v>
      </c>
      <c r="C44" s="100" t="s">
        <v>541</v>
      </c>
      <c r="D44" t="s">
        <v>605</v>
      </c>
      <c r="E44">
        <v>50</v>
      </c>
      <c r="F44" s="103">
        <v>45597</v>
      </c>
      <c r="G44" s="100" t="str">
        <f>IFERROR(VLOOKUP($C44,[5]!BOM_개발품목_1[[제품명]:[사양]],4,0),"")</f>
        <v/>
      </c>
      <c r="H44" s="100" t="str">
        <f>IFERROR(VLOOKUP($C44,[5]!BOM_개발품목_1[[제품명]:[사양]],2,0),"")</f>
        <v/>
      </c>
      <c r="I44" s="100" t="str">
        <f>IFERROR(VLOOKUP($C44,[5]!BOM_개발품목_1[[제품명]:[사양]],5,0),"")</f>
        <v/>
      </c>
      <c r="J44" s="100" t="str">
        <f>IFERROR(VLOOKUP($C44,[5]!BOM_개발품목_1[[제품명]:[사양]],7,0),"")</f>
        <v/>
      </c>
      <c r="K44" t="s">
        <v>543</v>
      </c>
    </row>
    <row r="45" spans="1:13">
      <c r="A45" s="70" t="str">
        <f t="shared" si="0"/>
        <v>_20241031</v>
      </c>
      <c r="B45" s="103">
        <v>45596</v>
      </c>
      <c r="C45" s="100" t="s">
        <v>178</v>
      </c>
      <c r="D45" t="s">
        <v>607</v>
      </c>
      <c r="E45">
        <v>100</v>
      </c>
      <c r="F45" s="103">
        <v>45601</v>
      </c>
      <c r="G45" s="100" t="str">
        <f>IFERROR(VLOOKUP($C45,[5]!BOM_개발품목_1[[제품명]:[사양]],4,0),"")</f>
        <v/>
      </c>
      <c r="H45" s="100" t="str">
        <f>IFERROR(VLOOKUP($C45,[5]!BOM_개발품목_1[[제품명]:[사양]],2,0),"")</f>
        <v/>
      </c>
      <c r="I45" s="100" t="str">
        <f>IFERROR(VLOOKUP($C45,[5]!BOM_개발품목_1[[제품명]:[사양]],5,0),"")</f>
        <v/>
      </c>
      <c r="J45" s="100" t="str">
        <f>IFERROR(VLOOKUP($C45,[5]!BOM_개발품목_1[[제품명]:[사양]],7,0),"")</f>
        <v/>
      </c>
      <c r="K45" t="s">
        <v>608</v>
      </c>
    </row>
    <row r="46" spans="1:13">
      <c r="A46" s="70" t="str">
        <f t="shared" si="0"/>
        <v>_20241101</v>
      </c>
      <c r="B46" s="103">
        <v>45597</v>
      </c>
      <c r="C46" s="100" t="s">
        <v>523</v>
      </c>
      <c r="D46" t="s">
        <v>609</v>
      </c>
      <c r="E46">
        <v>100</v>
      </c>
      <c r="F46" s="103">
        <v>45601</v>
      </c>
      <c r="G46" s="100" t="str">
        <f>IFERROR(VLOOKUP($C46,[5]!BOM_개발품목_1[[제품명]:[사양]],4,0),"")</f>
        <v/>
      </c>
      <c r="H46" s="100" t="str">
        <f>IFERROR(VLOOKUP($C46,[5]!BOM_개발품목_1[[제품명]:[사양]],2,0),"")</f>
        <v/>
      </c>
      <c r="I46" s="100" t="str">
        <f>IFERROR(VLOOKUP($C46,[5]!BOM_개발품목_1[[제품명]:[사양]],5,0),"")</f>
        <v/>
      </c>
      <c r="J46" s="100" t="str">
        <f>IFERROR(VLOOKUP($C46,[5]!BOM_개발품목_1[[제품명]:[사양]],7,0),"")</f>
        <v/>
      </c>
      <c r="K46" t="s">
        <v>147</v>
      </c>
      <c r="L46">
        <v>3</v>
      </c>
      <c r="M46" t="s">
        <v>610</v>
      </c>
    </row>
    <row r="47" spans="1:13">
      <c r="A47" s="70" t="str">
        <f t="shared" si="0"/>
        <v>_20241106</v>
      </c>
      <c r="B47" s="103">
        <v>45602</v>
      </c>
      <c r="C47" s="100" t="s">
        <v>541</v>
      </c>
      <c r="D47" t="s">
        <v>605</v>
      </c>
      <c r="E47">
        <v>100</v>
      </c>
      <c r="F47" s="103">
        <v>45603</v>
      </c>
      <c r="G47" s="100" t="str">
        <f>IFERROR(VLOOKUP($C47,[5]!BOM_개발품목_1[[제품명]:[사양]],4,0),"")</f>
        <v/>
      </c>
      <c r="H47" s="100" t="str">
        <f>IFERROR(VLOOKUP($C47,[5]!BOM_개발품목_1[[제품명]:[사양]],2,0),"")</f>
        <v/>
      </c>
      <c r="I47" s="100" t="str">
        <f>IFERROR(VLOOKUP($C47,[5]!BOM_개발품목_1[[제품명]:[사양]],5,0),"")</f>
        <v/>
      </c>
      <c r="J47" s="100" t="str">
        <f>IFERROR(VLOOKUP($C47,[5]!BOM_개발품목_1[[제품명]:[사양]],7,0),"")</f>
        <v/>
      </c>
      <c r="K47" t="s">
        <v>543</v>
      </c>
      <c r="M47" t="s">
        <v>611</v>
      </c>
    </row>
    <row r="48" spans="1:13">
      <c r="A48" s="70" t="str">
        <f t="shared" si="0"/>
        <v>SI1394_20241106</v>
      </c>
      <c r="B48" s="103">
        <v>45602</v>
      </c>
      <c r="C48" s="100" t="s">
        <v>612</v>
      </c>
      <c r="D48" t="s">
        <v>613</v>
      </c>
      <c r="E48">
        <v>500</v>
      </c>
      <c r="F48" s="103">
        <v>45604</v>
      </c>
      <c r="G48" s="100" t="s">
        <v>614</v>
      </c>
      <c r="H48" s="100"/>
      <c r="I48" s="100"/>
      <c r="J48" s="100"/>
      <c r="K48" t="s">
        <v>118</v>
      </c>
      <c r="M48" t="s">
        <v>615</v>
      </c>
    </row>
    <row r="49" spans="1:13">
      <c r="A49" s="70" t="str">
        <f t="shared" si="0"/>
        <v>_20241108</v>
      </c>
      <c r="B49" s="103">
        <v>45604</v>
      </c>
      <c r="C49" s="100" t="s">
        <v>530</v>
      </c>
      <c r="D49" t="s">
        <v>616</v>
      </c>
      <c r="E49" t="s">
        <v>617</v>
      </c>
      <c r="F49" s="101">
        <v>45608</v>
      </c>
      <c r="G49" s="100" t="str">
        <f>IFERROR(VLOOKUP($C49,[5]!BOM_개발품목_1[[제품명]:[사양]],4,0),"")</f>
        <v/>
      </c>
      <c r="H49" s="100" t="str">
        <f>IFERROR(VLOOKUP($C49,[5]!BOM_개발품목_1[[제품명]:[사양]],2,0),"")</f>
        <v/>
      </c>
      <c r="I49" s="100" t="str">
        <f>IFERROR(VLOOKUP($C49,[5]!BOM_개발품목_1[[제품명]:[사양]],5,0),"")</f>
        <v/>
      </c>
      <c r="J49" s="100" t="str">
        <f>IFERROR(VLOOKUP($C49,[5]!BOM_개발품목_1[[제품명]:[사양]],7,0),"")</f>
        <v/>
      </c>
      <c r="K49" t="s">
        <v>618</v>
      </c>
      <c r="M49" t="s">
        <v>619</v>
      </c>
    </row>
    <row r="50" spans="1:13">
      <c r="A50" s="70" t="str">
        <f t="shared" si="0"/>
        <v>SI1519_20241108</v>
      </c>
      <c r="B50" s="103">
        <v>45604</v>
      </c>
      <c r="C50" s="100" t="s">
        <v>538</v>
      </c>
      <c r="D50" t="s">
        <v>620</v>
      </c>
      <c r="E50">
        <v>40</v>
      </c>
      <c r="F50" s="103">
        <v>45607</v>
      </c>
      <c r="G50" s="100" t="s">
        <v>599</v>
      </c>
      <c r="H50" s="100" t="str">
        <f>IFERROR(VLOOKUP($C50,[5]!BOM_개발품목_1[[제품명]:[사양]],2,0),"")</f>
        <v/>
      </c>
      <c r="I50" s="100" t="str">
        <f>IFERROR(VLOOKUP($C50,[5]!BOM_개발품목_1[[제품명]:[사양]],5,0),"")</f>
        <v/>
      </c>
      <c r="J50" s="104" t="s">
        <v>540</v>
      </c>
      <c r="K50" t="s">
        <v>203</v>
      </c>
      <c r="L50">
        <v>4</v>
      </c>
      <c r="M50" t="s">
        <v>621</v>
      </c>
    </row>
    <row r="51" spans="1:13">
      <c r="A51" s="70" t="str">
        <f t="shared" si="0"/>
        <v>_20241109</v>
      </c>
      <c r="B51" s="103">
        <v>45605</v>
      </c>
      <c r="C51" s="100" t="s">
        <v>571</v>
      </c>
      <c r="D51" t="s">
        <v>622</v>
      </c>
      <c r="E51">
        <v>200</v>
      </c>
      <c r="F51" s="103">
        <v>45609</v>
      </c>
      <c r="G51" s="100" t="str">
        <f>IFERROR(VLOOKUP($C51,[5]!BOM_개발품목_1[[제품명]:[사양]],4,0),"")</f>
        <v/>
      </c>
      <c r="H51" s="100" t="str">
        <f>IFERROR(VLOOKUP($C51,[5]!BOM_개발품목_1[[제품명]:[사양]],2,0),"")</f>
        <v/>
      </c>
      <c r="I51" s="100" t="str">
        <f>IFERROR(VLOOKUP($C51,[5]!BOM_개발품목_1[[제품명]:[사양]],5,0),"")</f>
        <v/>
      </c>
      <c r="J51" s="100" t="str">
        <f>IFERROR(VLOOKUP($C51,[5]!BOM_개발품목_1[[제품명]:[사양]],7,0),"")</f>
        <v/>
      </c>
      <c r="K51" t="s">
        <v>573</v>
      </c>
      <c r="M51" t="s">
        <v>623</v>
      </c>
    </row>
    <row r="52" spans="1:13">
      <c r="A52" s="70" t="str">
        <f t="shared" si="0"/>
        <v>_20241112</v>
      </c>
      <c r="B52" s="103">
        <v>45608</v>
      </c>
      <c r="C52" s="100" t="s">
        <v>544</v>
      </c>
      <c r="D52" t="s">
        <v>624</v>
      </c>
      <c r="E52">
        <v>100</v>
      </c>
      <c r="F52" s="103">
        <v>45609</v>
      </c>
      <c r="G52" s="100" t="str">
        <f>IFERROR(VLOOKUP($C52,[5]!BOM_개발품목_1[[제품명]:[사양]],4,0),"")</f>
        <v/>
      </c>
      <c r="H52" s="100" t="str">
        <f>IFERROR(VLOOKUP($C52,[5]!BOM_개발품목_1[[제품명]:[사양]],2,0),"")</f>
        <v/>
      </c>
      <c r="I52" s="100" t="str">
        <f>IFERROR(VLOOKUP($C52,[5]!BOM_개발품목_1[[제품명]:[사양]],5,0),"")</f>
        <v/>
      </c>
      <c r="J52" s="100" t="str">
        <f>IFERROR(VLOOKUP($C52,[5]!BOM_개발품목_1[[제품명]:[사양]],7,0),"")</f>
        <v/>
      </c>
      <c r="K52" t="s">
        <v>546</v>
      </c>
      <c r="M52" t="s">
        <v>625</v>
      </c>
    </row>
    <row r="53" spans="1:13">
      <c r="A53" s="70" t="str">
        <f t="shared" si="0"/>
        <v>_20241112</v>
      </c>
      <c r="B53" s="103">
        <v>45608</v>
      </c>
      <c r="C53" s="100" t="s">
        <v>548</v>
      </c>
      <c r="D53" t="s">
        <v>626</v>
      </c>
      <c r="E53">
        <v>100</v>
      </c>
      <c r="F53" s="103">
        <v>45609</v>
      </c>
      <c r="G53" s="100" t="str">
        <f>IFERROR(VLOOKUP($C53,[5]!BOM_개발품목_1[[제품명]:[사양]],4,0),"")</f>
        <v/>
      </c>
      <c r="H53" s="100" t="str">
        <f>IFERROR(VLOOKUP($C53,[5]!BOM_개발품목_1[[제품명]:[사양]],2,0),"")</f>
        <v/>
      </c>
      <c r="I53" s="100" t="str">
        <f>IFERROR(VLOOKUP($C53,[5]!BOM_개발품목_1[[제품명]:[사양]],5,0),"")</f>
        <v/>
      </c>
      <c r="J53" s="100" t="str">
        <f>IFERROR(VLOOKUP($C53,[5]!BOM_개발품목_1[[제품명]:[사양]],7,0),"")</f>
        <v/>
      </c>
      <c r="K53" t="s">
        <v>546</v>
      </c>
    </row>
    <row r="54" spans="1:13">
      <c r="A54" s="70" t="str">
        <f t="shared" si="0"/>
        <v>_20241112</v>
      </c>
      <c r="B54" s="103">
        <v>45608</v>
      </c>
      <c r="C54" s="100" t="s">
        <v>178</v>
      </c>
      <c r="D54" t="s">
        <v>627</v>
      </c>
      <c r="E54">
        <v>100</v>
      </c>
      <c r="F54" s="101">
        <v>45610</v>
      </c>
      <c r="G54" s="100" t="str">
        <f>IFERROR(VLOOKUP($C54,[5]!BOM_개발품목_1[[제품명]:[사양]],4,0),"")</f>
        <v/>
      </c>
      <c r="H54" s="100" t="str">
        <f>IFERROR(VLOOKUP($C54,[5]!BOM_개발품목_1[[제품명]:[사양]],2,0),"")</f>
        <v/>
      </c>
      <c r="I54" s="100" t="str">
        <f>IFERROR(VLOOKUP($C54,[5]!BOM_개발품목_1[[제품명]:[사양]],5,0),"")</f>
        <v/>
      </c>
      <c r="J54" s="100" t="str">
        <f>IFERROR(VLOOKUP($C54,[5]!BOM_개발품목_1[[제품명]:[사양]],7,0),"")</f>
        <v/>
      </c>
      <c r="K54" t="s">
        <v>628</v>
      </c>
      <c r="M54" s="107" t="s">
        <v>629</v>
      </c>
    </row>
    <row r="55" spans="1:13">
      <c r="A55" s="70" t="str">
        <f t="shared" si="0"/>
        <v>_20241112</v>
      </c>
      <c r="B55" s="103">
        <v>45608</v>
      </c>
      <c r="C55" s="100" t="s">
        <v>523</v>
      </c>
      <c r="D55" t="s">
        <v>630</v>
      </c>
      <c r="E55" t="s">
        <v>617</v>
      </c>
      <c r="F55" s="101">
        <v>45610</v>
      </c>
      <c r="G55" s="100" t="str">
        <f>IFERROR(VLOOKUP($C55,[5]!BOM_개발품목_1[[제품명]:[사양]],4,0),"")</f>
        <v/>
      </c>
      <c r="H55" s="100" t="str">
        <f>IFERROR(VLOOKUP($C55,[5]!BOM_개발품목_1[[제품명]:[사양]],2,0),"")</f>
        <v/>
      </c>
      <c r="I55" s="100" t="str">
        <f>IFERROR(VLOOKUP($C55,[5]!BOM_개발품목_1[[제품명]:[사양]],5,0),"")</f>
        <v/>
      </c>
      <c r="J55" s="100" t="str">
        <f>IFERROR(VLOOKUP($C55,[5]!BOM_개발품목_1[[제품명]:[사양]],7,0),"")</f>
        <v/>
      </c>
      <c r="K55" t="s">
        <v>628</v>
      </c>
      <c r="M55" t="s">
        <v>619</v>
      </c>
    </row>
    <row r="56" spans="1:13">
      <c r="A56" s="70" t="str">
        <f t="shared" si="0"/>
        <v>SI1519_20241113</v>
      </c>
      <c r="B56" s="103">
        <v>45609</v>
      </c>
      <c r="C56" s="100" t="s">
        <v>538</v>
      </c>
      <c r="D56" t="s">
        <v>631</v>
      </c>
      <c r="E56">
        <v>40</v>
      </c>
      <c r="F56" s="103">
        <v>45610</v>
      </c>
      <c r="G56" s="100" t="s">
        <v>599</v>
      </c>
      <c r="H56" s="100" t="str">
        <f>IFERROR(VLOOKUP($C56,[5]!BOM_개발품목_1[[제품명]:[사양]],2,0),"")</f>
        <v/>
      </c>
      <c r="I56" s="100" t="str">
        <f>IFERROR(VLOOKUP($C56,[5]!BOM_개발품목_1[[제품명]:[사양]],5,0),"")</f>
        <v/>
      </c>
      <c r="J56" s="104" t="s">
        <v>540</v>
      </c>
      <c r="K56" t="s">
        <v>203</v>
      </c>
      <c r="L56">
        <v>4</v>
      </c>
      <c r="M56" t="s">
        <v>632</v>
      </c>
    </row>
    <row r="57" spans="1:13">
      <c r="A57" s="70" t="str">
        <f t="shared" si="0"/>
        <v>_20241115</v>
      </c>
      <c r="B57" s="103">
        <v>45611</v>
      </c>
      <c r="C57" s="100" t="s">
        <v>592</v>
      </c>
      <c r="D57" t="s">
        <v>633</v>
      </c>
      <c r="E57">
        <v>80</v>
      </c>
      <c r="F57" s="103">
        <v>45614</v>
      </c>
      <c r="G57" s="100" t="str">
        <f>IFERROR(VLOOKUP($C57,[5]!BOM_개발품목_1[[제품명]:[사양]],4,0),"")</f>
        <v/>
      </c>
      <c r="H57" s="100" t="str">
        <f>IFERROR(VLOOKUP($C57,[5]!BOM_개발품목_1[[제품명]:[사양]],2,0),"")</f>
        <v/>
      </c>
      <c r="I57" s="100" t="str">
        <f>IFERROR(VLOOKUP($C57,[5]!BOM_개발품목_1[[제품명]:[사양]],5,0),"")</f>
        <v/>
      </c>
      <c r="J57" s="100" t="str">
        <f>IFERROR(VLOOKUP($C57,[5]!BOM_개발품목_1[[제품명]:[사양]],7,0),"")</f>
        <v/>
      </c>
      <c r="K57" t="s">
        <v>634</v>
      </c>
    </row>
    <row r="58" spans="1:13">
      <c r="A58" s="70" t="str">
        <f t="shared" si="0"/>
        <v>_20241115</v>
      </c>
      <c r="B58" s="103">
        <v>45611</v>
      </c>
      <c r="C58" s="100" t="s">
        <v>594</v>
      </c>
      <c r="D58" t="s">
        <v>635</v>
      </c>
      <c r="E58">
        <v>80</v>
      </c>
      <c r="F58" s="103">
        <v>45614</v>
      </c>
      <c r="G58" s="100" t="str">
        <f>IFERROR(VLOOKUP($C58,[5]!BOM_개발품목_1[[제품명]:[사양]],4,0),"")</f>
        <v/>
      </c>
      <c r="H58" s="100" t="str">
        <f>IFERROR(VLOOKUP($C58,[5]!BOM_개발품목_1[[제품명]:[사양]],2,0),"")</f>
        <v/>
      </c>
      <c r="I58" s="100" t="str">
        <f>IFERROR(VLOOKUP($C58,[5]!BOM_개발품목_1[[제품명]:[사양]],5,0),"")</f>
        <v/>
      </c>
      <c r="J58" s="100" t="str">
        <f>IFERROR(VLOOKUP($C58,[5]!BOM_개발품목_1[[제품명]:[사양]],7,0),"")</f>
        <v/>
      </c>
    </row>
    <row r="59" spans="1:13">
      <c r="A59" s="70" t="str">
        <f t="shared" si="0"/>
        <v>_20241115</v>
      </c>
      <c r="B59" s="103">
        <v>45611</v>
      </c>
      <c r="C59" s="100" t="s">
        <v>596</v>
      </c>
      <c r="D59" t="s">
        <v>635</v>
      </c>
      <c r="E59">
        <v>80</v>
      </c>
      <c r="F59" s="103">
        <v>45614</v>
      </c>
      <c r="G59" s="100" t="str">
        <f>IFERROR(VLOOKUP($C59,[5]!BOM_개발품목_1[[제품명]:[사양]],4,0),"")</f>
        <v/>
      </c>
      <c r="H59" s="100" t="str">
        <f>IFERROR(VLOOKUP($C59,[5]!BOM_개발품목_1[[제품명]:[사양]],2,0),"")</f>
        <v/>
      </c>
      <c r="I59" s="100" t="str">
        <f>IFERROR(VLOOKUP($C59,[5]!BOM_개발품목_1[[제품명]:[사양]],5,0),"")</f>
        <v/>
      </c>
      <c r="J59" s="100" t="str">
        <f>IFERROR(VLOOKUP($C59,[5]!BOM_개발품목_1[[제품명]:[사양]],7,0),"")</f>
        <v/>
      </c>
    </row>
    <row r="60" spans="1:13">
      <c r="A60" s="70" t="str">
        <f t="shared" si="0"/>
        <v>_20241115</v>
      </c>
      <c r="B60" s="103">
        <v>45611</v>
      </c>
      <c r="C60" s="100" t="s">
        <v>597</v>
      </c>
      <c r="D60" t="s">
        <v>635</v>
      </c>
      <c r="E60">
        <v>80</v>
      </c>
      <c r="F60" s="103">
        <v>45614</v>
      </c>
      <c r="G60" s="100" t="str">
        <f>IFERROR(VLOOKUP($C60,[5]!BOM_개발품목_1[[제품명]:[사양]],4,0),"")</f>
        <v/>
      </c>
      <c r="H60" s="100" t="str">
        <f>IFERROR(VLOOKUP($C60,[5]!BOM_개발품목_1[[제품명]:[사양]],2,0),"")</f>
        <v/>
      </c>
      <c r="I60" s="100" t="str">
        <f>IFERROR(VLOOKUP($C60,[5]!BOM_개발품목_1[[제품명]:[사양]],5,0),"")</f>
        <v/>
      </c>
      <c r="J60" s="100" t="str">
        <f>IFERROR(VLOOKUP($C60,[5]!BOM_개발품목_1[[제품명]:[사양]],7,0),"")</f>
        <v/>
      </c>
    </row>
    <row r="61" spans="1:13">
      <c r="A61" s="70" t="str">
        <f t="shared" si="0"/>
        <v>SI1519_20241115</v>
      </c>
      <c r="B61" s="103">
        <v>45611</v>
      </c>
      <c r="C61" s="100" t="s">
        <v>538</v>
      </c>
      <c r="D61" t="s">
        <v>636</v>
      </c>
      <c r="E61">
        <v>100</v>
      </c>
      <c r="F61" s="101">
        <v>45615</v>
      </c>
      <c r="G61" s="100" t="s">
        <v>599</v>
      </c>
      <c r="H61" s="100" t="str">
        <f>IFERROR(VLOOKUP($C61,[5]!BOM_개발품목_1[[제품명]:[사양]],2,0),"")</f>
        <v/>
      </c>
      <c r="I61" s="100" t="str">
        <f>IFERROR(VLOOKUP($C61,[5]!BOM_개발품목_1[[제품명]:[사양]],5,0),"")</f>
        <v/>
      </c>
      <c r="J61" s="104" t="s">
        <v>540</v>
      </c>
      <c r="K61" t="s">
        <v>203</v>
      </c>
      <c r="L61">
        <v>4</v>
      </c>
      <c r="M61" t="s">
        <v>637</v>
      </c>
    </row>
    <row r="62" spans="1:13">
      <c r="A62" s="70" t="str">
        <f t="shared" si="0"/>
        <v>_20241118</v>
      </c>
      <c r="B62" s="103">
        <v>45614</v>
      </c>
      <c r="C62" s="100" t="s">
        <v>526</v>
      </c>
      <c r="D62" t="s">
        <v>638</v>
      </c>
      <c r="E62" t="s">
        <v>617</v>
      </c>
      <c r="F62" s="101">
        <v>45616</v>
      </c>
      <c r="G62" s="100" t="str">
        <f>IFERROR(VLOOKUP($C62,[5]!BOM_개발품목_1[[제품명]:[사양]],4,0),"")</f>
        <v/>
      </c>
      <c r="H62" s="100" t="str">
        <f>IFERROR(VLOOKUP($C62,[5]!BOM_개발품목_1[[제품명]:[사양]],2,0),"")</f>
        <v/>
      </c>
      <c r="I62" s="100" t="str">
        <f>IFERROR(VLOOKUP($C62,[5]!BOM_개발품목_1[[제품명]:[사양]],5,0),"")</f>
        <v/>
      </c>
      <c r="J62" s="100" t="str">
        <f>IFERROR(VLOOKUP($C62,[5]!BOM_개발품목_1[[제품명]:[사양]],7,0),"")</f>
        <v/>
      </c>
      <c r="K62" t="s">
        <v>182</v>
      </c>
      <c r="M62" t="s">
        <v>619</v>
      </c>
    </row>
    <row r="63" spans="1:13">
      <c r="A63" s="70" t="str">
        <f t="shared" si="0"/>
        <v>_20241118</v>
      </c>
      <c r="B63" s="103">
        <v>45614</v>
      </c>
      <c r="C63" s="100" t="s">
        <v>527</v>
      </c>
      <c r="D63" t="s">
        <v>639</v>
      </c>
      <c r="E63">
        <v>100</v>
      </c>
      <c r="F63" s="101">
        <v>45616</v>
      </c>
      <c r="G63" s="100" t="str">
        <f>IFERROR(VLOOKUP($C63,[5]!BOM_개발품목_1[[제품명]:[사양]],4,0),"")</f>
        <v/>
      </c>
      <c r="H63" s="100" t="str">
        <f>IFERROR(VLOOKUP($C63,[5]!BOM_개발품목_1[[제품명]:[사양]],2,0),"")</f>
        <v/>
      </c>
      <c r="I63" s="100" t="str">
        <f>IFERROR(VLOOKUP($C63,[5]!BOM_개발품목_1[[제품명]:[사양]],5,0),"")</f>
        <v/>
      </c>
      <c r="J63" s="100" t="str">
        <f>IFERROR(VLOOKUP($C63,[5]!BOM_개발품목_1[[제품명]:[사양]],7,0),"")</f>
        <v/>
      </c>
      <c r="K63" t="s">
        <v>640</v>
      </c>
    </row>
    <row r="64" spans="1:13">
      <c r="A64" s="70" t="str">
        <f t="shared" si="0"/>
        <v>_20241119</v>
      </c>
      <c r="B64" s="103">
        <v>45615</v>
      </c>
      <c r="C64" s="100" t="s">
        <v>641</v>
      </c>
      <c r="D64" t="s">
        <v>642</v>
      </c>
      <c r="E64">
        <v>50</v>
      </c>
      <c r="F64" t="s">
        <v>643</v>
      </c>
      <c r="G64" s="100" t="str">
        <f>IFERROR(VLOOKUP($C64,[5]!BOM_개발품목_1[[제품명]:[사양]],4,0),"")</f>
        <v/>
      </c>
      <c r="H64" s="100" t="str">
        <f>IFERROR(VLOOKUP($C64,[5]!BOM_개발품목_1[[제품명]:[사양]],2,0),"")</f>
        <v/>
      </c>
      <c r="I64" s="100" t="str">
        <f>IFERROR(VLOOKUP($C64,[5]!BOM_개발품목_1[[제품명]:[사양]],5,0),"")</f>
        <v/>
      </c>
      <c r="J64" s="100" t="str">
        <f>IFERROR(VLOOKUP($C64,[5]!BOM_개발품목_1[[제품명]:[사양]],7,0),"")</f>
        <v/>
      </c>
      <c r="K64" t="s">
        <v>644</v>
      </c>
      <c r="M64" t="s">
        <v>645</v>
      </c>
    </row>
    <row r="65" spans="1:13">
      <c r="A65" s="70" t="str">
        <f t="shared" si="0"/>
        <v>_20241119</v>
      </c>
      <c r="B65" s="103">
        <v>45615</v>
      </c>
      <c r="C65" s="100" t="s">
        <v>646</v>
      </c>
      <c r="D65" t="s">
        <v>642</v>
      </c>
      <c r="E65">
        <v>50</v>
      </c>
      <c r="F65" t="s">
        <v>643</v>
      </c>
      <c r="G65" s="100" t="str">
        <f>IFERROR(VLOOKUP($C65,[5]!BOM_개발품목_1[[제품명]:[사양]],4,0),"")</f>
        <v/>
      </c>
      <c r="H65" s="100" t="str">
        <f>IFERROR(VLOOKUP($C65,[5]!BOM_개발품목_1[[제품명]:[사양]],2,0),"")</f>
        <v/>
      </c>
      <c r="I65" s="100" t="str">
        <f>IFERROR(VLOOKUP($C65,[5]!BOM_개발품목_1[[제품명]:[사양]],5,0),"")</f>
        <v/>
      </c>
      <c r="J65" s="100" t="str">
        <f>IFERROR(VLOOKUP($C65,[5]!BOM_개발품목_1[[제품명]:[사양]],7,0),"")</f>
        <v/>
      </c>
      <c r="K65" t="s">
        <v>644</v>
      </c>
      <c r="M65" t="s">
        <v>645</v>
      </c>
    </row>
    <row r="66" spans="1:13">
      <c r="A66" s="70" t="str">
        <f t="shared" si="0"/>
        <v>_20241120</v>
      </c>
      <c r="B66" s="103">
        <v>45616</v>
      </c>
      <c r="C66" s="100" t="s">
        <v>526</v>
      </c>
      <c r="D66" t="s">
        <v>647</v>
      </c>
      <c r="E66">
        <v>400</v>
      </c>
      <c r="F66" s="108">
        <v>45623</v>
      </c>
      <c r="G66" s="100" t="str">
        <f>IFERROR(VLOOKUP($C66,[5]!BOM_개발품목_1[[제품명]:[사양]],4,0),"")</f>
        <v/>
      </c>
      <c r="H66" s="100" t="str">
        <f>IFERROR(VLOOKUP($C66,[5]!BOM_개발품목_1[[제품명]:[사양]],2,0),"")</f>
        <v/>
      </c>
      <c r="I66" s="100" t="str">
        <f>IFERROR(VLOOKUP($C66,[5]!BOM_개발품목_1[[제품명]:[사양]],5,0),"")</f>
        <v/>
      </c>
      <c r="J66" s="100" t="str">
        <f>IFERROR(VLOOKUP($C66,[5]!BOM_개발품목_1[[제품명]:[사양]],7,0),"")</f>
        <v/>
      </c>
      <c r="K66" t="s">
        <v>648</v>
      </c>
      <c r="L66" s="109">
        <v>0.04</v>
      </c>
      <c r="M66" t="s">
        <v>649</v>
      </c>
    </row>
    <row r="67" spans="1:13">
      <c r="A67" s="70" t="str">
        <f t="shared" si="0"/>
        <v>_20241120</v>
      </c>
      <c r="B67" s="103">
        <v>45616</v>
      </c>
      <c r="C67" s="100" t="s">
        <v>527</v>
      </c>
      <c r="D67" t="s">
        <v>647</v>
      </c>
      <c r="E67">
        <v>400</v>
      </c>
      <c r="F67" s="108">
        <v>45623</v>
      </c>
      <c r="G67" s="100" t="str">
        <f>IFERROR(VLOOKUP($C67,[5]!BOM_개발품목_1[[제품명]:[사양]],4,0),"")</f>
        <v/>
      </c>
      <c r="H67" s="100" t="str">
        <f>IFERROR(VLOOKUP($C67,[5]!BOM_개발품목_1[[제품명]:[사양]],2,0),"")</f>
        <v/>
      </c>
      <c r="I67" s="100" t="str">
        <f>IFERROR(VLOOKUP($C67,[5]!BOM_개발품목_1[[제품명]:[사양]],5,0),"")</f>
        <v/>
      </c>
      <c r="J67" s="100" t="str">
        <f>IFERROR(VLOOKUP($C67,[5]!BOM_개발품목_1[[제품명]:[사양]],7,0),"")</f>
        <v/>
      </c>
    </row>
    <row r="68" spans="1:13">
      <c r="A68" s="70" t="str">
        <f t="shared" ref="A68:A131" si="1">IFERROR(G68&amp;"_"&amp;YEAR(B68)&amp;TEXT(MONTH(B68),"00")&amp;TEXT(DAY(B68),"00"),"")</f>
        <v>_20241120</v>
      </c>
      <c r="B68" s="103">
        <v>45616</v>
      </c>
      <c r="C68" s="100" t="s">
        <v>178</v>
      </c>
      <c r="D68" t="s">
        <v>647</v>
      </c>
      <c r="E68">
        <v>400</v>
      </c>
      <c r="F68" s="108">
        <v>45623</v>
      </c>
      <c r="G68" s="100" t="str">
        <f>IFERROR(VLOOKUP($C68,[5]!BOM_개발품목_1[[제품명]:[사양]],4,0),"")</f>
        <v/>
      </c>
      <c r="H68" s="100" t="str">
        <f>IFERROR(VLOOKUP($C68,[5]!BOM_개발품목_1[[제품명]:[사양]],2,0),"")</f>
        <v/>
      </c>
      <c r="I68" s="100" t="str">
        <f>IFERROR(VLOOKUP($C68,[5]!BOM_개발품목_1[[제품명]:[사양]],5,0),"")</f>
        <v/>
      </c>
      <c r="J68" s="100" t="str">
        <f>IFERROR(VLOOKUP($C68,[5]!BOM_개발품목_1[[제품명]:[사양]],7,0),"")</f>
        <v/>
      </c>
      <c r="K68" s="109" t="s">
        <v>650</v>
      </c>
      <c r="L68" s="109">
        <v>0.04</v>
      </c>
      <c r="M68" t="s">
        <v>651</v>
      </c>
    </row>
    <row r="69" spans="1:13">
      <c r="A69" s="70" t="str">
        <f t="shared" si="1"/>
        <v>_20241120</v>
      </c>
      <c r="B69" s="103">
        <v>45616</v>
      </c>
      <c r="C69" s="100" t="s">
        <v>523</v>
      </c>
      <c r="D69" t="s">
        <v>652</v>
      </c>
      <c r="E69">
        <v>400</v>
      </c>
      <c r="F69" s="108">
        <v>45623</v>
      </c>
      <c r="G69" s="100" t="str">
        <f>IFERROR(VLOOKUP($C69,[5]!BOM_개발품목_1[[제품명]:[사양]],4,0),"")</f>
        <v/>
      </c>
      <c r="H69" s="100" t="str">
        <f>IFERROR(VLOOKUP($C69,[5]!BOM_개발품목_1[[제품명]:[사양]],2,0),"")</f>
        <v/>
      </c>
      <c r="I69" s="100" t="str">
        <f>IFERROR(VLOOKUP($C69,[5]!BOM_개발품목_1[[제품명]:[사양]],5,0),"")</f>
        <v/>
      </c>
      <c r="J69" s="100" t="str">
        <f>IFERROR(VLOOKUP($C69,[5]!BOM_개발품목_1[[제품명]:[사양]],7,0),"")</f>
        <v/>
      </c>
      <c r="K69" t="s">
        <v>648</v>
      </c>
      <c r="L69" s="109">
        <v>0.04</v>
      </c>
    </row>
    <row r="70" spans="1:13">
      <c r="A70" s="70" t="str">
        <f t="shared" si="1"/>
        <v>_20241120</v>
      </c>
      <c r="B70" s="103">
        <v>45616</v>
      </c>
      <c r="C70" s="100" t="s">
        <v>530</v>
      </c>
      <c r="D70" t="s">
        <v>647</v>
      </c>
      <c r="E70">
        <v>400</v>
      </c>
      <c r="F70" s="108">
        <v>45623</v>
      </c>
      <c r="G70" s="100" t="str">
        <f>IFERROR(VLOOKUP($C70,[5]!BOM_개발품목_1[[제품명]:[사양]],4,0),"")</f>
        <v/>
      </c>
      <c r="H70" s="100" t="str">
        <f>IFERROR(VLOOKUP($C70,[5]!BOM_개발품목_1[[제품명]:[사양]],2,0),"")</f>
        <v/>
      </c>
      <c r="I70" s="100" t="str">
        <f>IFERROR(VLOOKUP($C70,[5]!BOM_개발품목_1[[제품명]:[사양]],5,0),"")</f>
        <v/>
      </c>
      <c r="J70" s="100" t="str">
        <f>IFERROR(VLOOKUP($C70,[5]!BOM_개발품목_1[[제품명]:[사양]],7,0),"")</f>
        <v/>
      </c>
      <c r="K70" t="s">
        <v>648</v>
      </c>
      <c r="L70" s="109">
        <v>0.04</v>
      </c>
    </row>
    <row r="71" spans="1:13">
      <c r="A71" s="70" t="str">
        <f t="shared" si="1"/>
        <v>_20241120</v>
      </c>
      <c r="B71" s="103">
        <v>45616</v>
      </c>
      <c r="C71" s="100" t="s">
        <v>534</v>
      </c>
      <c r="D71" t="s">
        <v>653</v>
      </c>
      <c r="E71">
        <v>400</v>
      </c>
      <c r="F71" s="108">
        <v>45623</v>
      </c>
      <c r="G71" s="100" t="str">
        <f>IFERROR(VLOOKUP($C71,[5]!BOM_개발품목_1[[제품명]:[사양]],4,0),"")</f>
        <v/>
      </c>
      <c r="H71" s="100" t="str">
        <f>IFERROR(VLOOKUP($C71,[5]!BOM_개발품목_1[[제품명]:[사양]],2,0),"")</f>
        <v/>
      </c>
      <c r="I71" s="100" t="str">
        <f>IFERROR(VLOOKUP($C71,[5]!BOM_개발품목_1[[제품명]:[사양]],5,0),"")</f>
        <v/>
      </c>
      <c r="J71" s="100" t="str">
        <f>IFERROR(VLOOKUP($C71,[5]!BOM_개발품목_1[[제품명]:[사양]],7,0),"")</f>
        <v/>
      </c>
    </row>
    <row r="72" spans="1:13">
      <c r="A72" s="70" t="str">
        <f t="shared" si="1"/>
        <v>_20241120</v>
      </c>
      <c r="B72" s="103">
        <v>45616</v>
      </c>
      <c r="C72" s="100" t="s">
        <v>571</v>
      </c>
      <c r="D72" t="s">
        <v>654</v>
      </c>
      <c r="E72">
        <v>400</v>
      </c>
      <c r="F72" s="103">
        <v>45623</v>
      </c>
      <c r="G72" s="100" t="str">
        <f>IFERROR(VLOOKUP($C72,[5]!BOM_개발품목_1[[제품명]:[사양]],4,0),"")</f>
        <v/>
      </c>
      <c r="H72" s="100" t="str">
        <f>IFERROR(VLOOKUP($C72,[5]!BOM_개발품목_1[[제품명]:[사양]],2,0),"")</f>
        <v/>
      </c>
      <c r="I72" s="100" t="str">
        <f>IFERROR(VLOOKUP($C72,[5]!BOM_개발품목_1[[제품명]:[사양]],5,0),"")</f>
        <v/>
      </c>
      <c r="J72" s="100" t="str">
        <f>IFERROR(VLOOKUP($C72,[5]!BOM_개발품목_1[[제품명]:[사양]],7,0),"")</f>
        <v/>
      </c>
    </row>
    <row r="73" spans="1:13">
      <c r="A73" s="70" t="str">
        <f t="shared" si="1"/>
        <v>SI1519_20241122</v>
      </c>
      <c r="B73" s="103">
        <v>45618</v>
      </c>
      <c r="C73" s="100" t="s">
        <v>538</v>
      </c>
      <c r="D73" t="s">
        <v>636</v>
      </c>
      <c r="E73">
        <v>100</v>
      </c>
      <c r="F73" s="103">
        <v>45621</v>
      </c>
      <c r="G73" s="100" t="s">
        <v>599</v>
      </c>
      <c r="H73" s="100" t="str">
        <f>IFERROR(VLOOKUP($C73,[5]!BOM_개발품목_1[[제품명]:[사양]],2,0),"")</f>
        <v/>
      </c>
      <c r="I73" s="100" t="str">
        <f>IFERROR(VLOOKUP($C73,[5]!BOM_개발품목_1[[제품명]:[사양]],5,0),"")</f>
        <v/>
      </c>
      <c r="J73" s="104" t="s">
        <v>540</v>
      </c>
      <c r="K73" t="s">
        <v>203</v>
      </c>
      <c r="M73" t="s">
        <v>655</v>
      </c>
    </row>
    <row r="74" spans="1:13">
      <c r="A74" s="70" t="str">
        <f t="shared" si="1"/>
        <v>SI1499_20241122</v>
      </c>
      <c r="B74" s="103">
        <v>45618</v>
      </c>
      <c r="C74" s="100" t="s">
        <v>656</v>
      </c>
      <c r="D74" t="s">
        <v>657</v>
      </c>
      <c r="E74">
        <v>100</v>
      </c>
      <c r="F74" s="103">
        <v>45623</v>
      </c>
      <c r="G74" s="100" t="s">
        <v>658</v>
      </c>
      <c r="H74" s="100"/>
      <c r="I74" s="100"/>
      <c r="J74" s="100"/>
      <c r="M74" t="s">
        <v>659</v>
      </c>
    </row>
    <row r="75" spans="1:13" ht="409.5">
      <c r="A75" s="70" t="str">
        <f t="shared" si="1"/>
        <v>_20241127</v>
      </c>
      <c r="B75" s="103">
        <v>45623</v>
      </c>
      <c r="C75" s="100" t="s">
        <v>178</v>
      </c>
      <c r="D75" s="110" t="s">
        <v>660</v>
      </c>
      <c r="E75">
        <v>100</v>
      </c>
      <c r="F75" s="103">
        <v>45624</v>
      </c>
      <c r="G75" s="100" t="str">
        <f>IFERROR(VLOOKUP($C75,[5]!BOM_개발품목_1[[제품명]:[사양]],4,0),"")</f>
        <v/>
      </c>
      <c r="H75" s="100" t="str">
        <f>IFERROR(VLOOKUP($C75,[5]!BOM_개발품목_1[[제품명]:[사양]],2,0),"")</f>
        <v/>
      </c>
      <c r="I75" s="100" t="str">
        <f>IFERROR(VLOOKUP($C75,[5]!BOM_개발품목_1[[제품명]:[사양]],5,0),"")</f>
        <v/>
      </c>
      <c r="J75" s="100" t="s">
        <v>661</v>
      </c>
      <c r="K75" s="109" t="s">
        <v>650</v>
      </c>
      <c r="M75" t="s">
        <v>662</v>
      </c>
    </row>
    <row r="76" spans="1:13">
      <c r="A76" s="70" t="str">
        <f t="shared" si="1"/>
        <v>SI1519_20241127</v>
      </c>
      <c r="B76" s="103">
        <v>45623</v>
      </c>
      <c r="C76" s="100" t="s">
        <v>538</v>
      </c>
      <c r="D76" t="s">
        <v>663</v>
      </c>
      <c r="E76">
        <v>200</v>
      </c>
      <c r="F76" s="103">
        <v>45625</v>
      </c>
      <c r="G76" s="100" t="s">
        <v>599</v>
      </c>
      <c r="H76" s="100" t="str">
        <f>IFERROR(VLOOKUP($C76,[5]!BOM_개발품목_1[[제품명]:[사양]],2,0),"")</f>
        <v/>
      </c>
      <c r="I76" s="100" t="str">
        <f>IFERROR(VLOOKUP($C76,[5]!BOM_개발품목_1[[제품명]:[사양]],5,0),"")</f>
        <v/>
      </c>
      <c r="J76" s="104" t="s">
        <v>540</v>
      </c>
      <c r="K76" t="s">
        <v>203</v>
      </c>
      <c r="M76" t="s">
        <v>664</v>
      </c>
    </row>
    <row r="77" spans="1:13">
      <c r="A77" s="101" t="str">
        <f t="shared" si="1"/>
        <v>SI1589_20241127</v>
      </c>
      <c r="B77" s="103">
        <v>45623</v>
      </c>
      <c r="C77" s="100" t="s">
        <v>561</v>
      </c>
      <c r="D77" t="s">
        <v>665</v>
      </c>
      <c r="E77">
        <v>200</v>
      </c>
      <c r="F77" s="103">
        <v>45625</v>
      </c>
      <c r="G77" s="100" t="s">
        <v>666</v>
      </c>
      <c r="H77" s="100" t="str">
        <f>IFERROR(VLOOKUP($C77,[5]!BOM_개발품목_1[[제품명]:[사양]],2,0),"")</f>
        <v/>
      </c>
      <c r="I77" s="100" t="str">
        <f>IFERROR(VLOOKUP($C77,[5]!BOM_개발품목_1[[제품명]:[사양]],5,0),"")</f>
        <v/>
      </c>
      <c r="J77" s="100" t="s">
        <v>667</v>
      </c>
    </row>
    <row r="78" spans="1:13">
      <c r="A78" s="70" t="str">
        <f t="shared" si="1"/>
        <v>SI1522_20241127</v>
      </c>
      <c r="B78" s="103">
        <v>45623</v>
      </c>
      <c r="C78" s="100" t="s">
        <v>601</v>
      </c>
      <c r="D78" t="s">
        <v>668</v>
      </c>
      <c r="E78">
        <v>100</v>
      </c>
      <c r="F78" s="103">
        <v>45625</v>
      </c>
      <c r="G78" s="100" t="s">
        <v>602</v>
      </c>
      <c r="H78" s="100" t="str">
        <f>IFERROR(VLOOKUP($C78,[5]!BOM_개발품목_1[[제품명]:[사양]],2,0),"")</f>
        <v/>
      </c>
      <c r="I78" s="100" t="str">
        <f>IFERROR(VLOOKUP($C78,[5]!BOM_개발품목_1[[제품명]:[사양]],5,0),"")</f>
        <v/>
      </c>
      <c r="J78" s="100" t="str">
        <f>IFERROR(VLOOKUP($C78,[5]!BOM_개발품목_1[[제품명]:[사양]],7,0),"")</f>
        <v/>
      </c>
      <c r="K78" t="s">
        <v>603</v>
      </c>
    </row>
    <row r="79" spans="1:13">
      <c r="A79" s="101" t="str">
        <f t="shared" si="1"/>
        <v>SI1586_20241127</v>
      </c>
      <c r="B79" s="103">
        <v>45623</v>
      </c>
      <c r="C79" s="100" t="s">
        <v>558</v>
      </c>
      <c r="D79" t="s">
        <v>665</v>
      </c>
      <c r="E79">
        <v>200</v>
      </c>
      <c r="F79" s="108">
        <v>45625</v>
      </c>
      <c r="G79" s="99" t="s">
        <v>669</v>
      </c>
      <c r="H79" s="100" t="str">
        <f>IFERROR(VLOOKUP($C79,[5]!BOM_개발품목_1[[제품명]:[사양]],2,0),"")</f>
        <v/>
      </c>
      <c r="I79" s="100" t="str">
        <f>IFERROR(VLOOKUP($C79,[5]!BOM_개발품목_1[[제품명]:[사양]],5,0),"")</f>
        <v/>
      </c>
      <c r="J79" s="100" t="s">
        <v>667</v>
      </c>
      <c r="M79" t="s">
        <v>670</v>
      </c>
    </row>
    <row r="80" spans="1:13">
      <c r="A80" s="101" t="str">
        <f t="shared" si="1"/>
        <v>SI1587_20241127</v>
      </c>
      <c r="B80" s="103">
        <v>45623</v>
      </c>
      <c r="C80" s="100" t="s">
        <v>604</v>
      </c>
      <c r="D80" t="s">
        <v>665</v>
      </c>
      <c r="E80">
        <v>200</v>
      </c>
      <c r="F80" s="108">
        <v>45625</v>
      </c>
      <c r="G80" s="111" t="s">
        <v>671</v>
      </c>
      <c r="H80" s="100" t="str">
        <f>IFERROR(VLOOKUP($C80,[5]!BOM_개발품목_1[[제품명]:[사양]],2,0),"")</f>
        <v/>
      </c>
      <c r="I80" s="100" t="str">
        <f>IFERROR(VLOOKUP($C80,[5]!BOM_개발품목_1[[제품명]:[사양]],5,0),"")</f>
        <v/>
      </c>
      <c r="J80" s="100" t="s">
        <v>667</v>
      </c>
    </row>
    <row r="81" spans="1:13">
      <c r="A81" s="70" t="str">
        <f t="shared" si="1"/>
        <v>SI1588_20241127</v>
      </c>
      <c r="B81" s="103">
        <v>45623</v>
      </c>
      <c r="C81" s="100" t="s">
        <v>672</v>
      </c>
      <c r="D81" t="s">
        <v>665</v>
      </c>
      <c r="E81">
        <v>200</v>
      </c>
      <c r="F81" s="108">
        <v>45625</v>
      </c>
      <c r="G81" s="100" t="s">
        <v>673</v>
      </c>
      <c r="H81" s="100" t="str">
        <f>IFERROR(VLOOKUP($C81,[5]!BOM_개발품목_1[[제품명]:[사양]],2,0),"")</f>
        <v/>
      </c>
      <c r="I81" s="100" t="str">
        <f>IFERROR(VLOOKUP($C81,[5]!BOM_개발품목_1[[제품명]:[사양]],5,0),"")</f>
        <v/>
      </c>
      <c r="J81" s="100" t="s">
        <v>667</v>
      </c>
    </row>
    <row r="82" spans="1:13">
      <c r="A82" s="70" t="str">
        <f t="shared" si="1"/>
        <v>SI0863_20241205</v>
      </c>
      <c r="B82" s="103">
        <v>45631</v>
      </c>
      <c r="C82" s="100" t="s">
        <v>674</v>
      </c>
      <c r="D82" t="s">
        <v>675</v>
      </c>
      <c r="E82">
        <v>80</v>
      </c>
      <c r="F82" s="103">
        <v>45635</v>
      </c>
      <c r="G82" s="100" t="s">
        <v>676</v>
      </c>
      <c r="H82" s="100" t="s">
        <v>677</v>
      </c>
      <c r="I82" s="100" t="s">
        <v>678</v>
      </c>
      <c r="J82" s="100" t="s">
        <v>679</v>
      </c>
      <c r="K82" t="s">
        <v>680</v>
      </c>
      <c r="L82" s="109">
        <v>0.04</v>
      </c>
      <c r="M82" s="100" t="s">
        <v>681</v>
      </c>
    </row>
    <row r="83" spans="1:13">
      <c r="A83" s="70" t="str">
        <f t="shared" si="1"/>
        <v>_20241205</v>
      </c>
      <c r="B83" s="103">
        <v>45631</v>
      </c>
      <c r="C83" s="100" t="s">
        <v>544</v>
      </c>
      <c r="D83" t="s">
        <v>682</v>
      </c>
      <c r="E83">
        <v>100</v>
      </c>
      <c r="F83" s="103">
        <v>45636</v>
      </c>
      <c r="G83" s="100" t="str">
        <f>IFERROR(VLOOKUP($C83,[5]!BOM_개발품목_1[[제품명]:[사양]],4,0),"")</f>
        <v/>
      </c>
      <c r="H83" s="100" t="str">
        <f>IFERROR(VLOOKUP($C83,[5]!BOM_개발품목_1[[제품명]:[사양]],2,0),"")</f>
        <v/>
      </c>
      <c r="I83" s="100" t="str">
        <f>IFERROR(VLOOKUP($C83,[5]!BOM_개발품목_1[[제품명]:[사양]],5,0),"")</f>
        <v/>
      </c>
      <c r="J83" s="100" t="str">
        <f>IFERROR(VLOOKUP($C83,[5]!BOM_개발품목_1[[제품명]:[사양]],7,0),"")</f>
        <v/>
      </c>
      <c r="M83" t="s">
        <v>683</v>
      </c>
    </row>
    <row r="84" spans="1:13">
      <c r="A84" s="70" t="str">
        <f t="shared" si="1"/>
        <v>_20241205</v>
      </c>
      <c r="B84" s="103">
        <v>45631</v>
      </c>
      <c r="C84" s="100" t="s">
        <v>548</v>
      </c>
      <c r="D84" t="s">
        <v>684</v>
      </c>
      <c r="E84">
        <v>100</v>
      </c>
      <c r="F84" s="103">
        <v>45636</v>
      </c>
      <c r="G84" s="100" t="str">
        <f>IFERROR(VLOOKUP($C84,[5]!BOM_개발품목_1[[제품명]:[사양]],4,0),"")</f>
        <v/>
      </c>
      <c r="H84" s="100" t="str">
        <f>IFERROR(VLOOKUP($C84,[5]!BOM_개발품목_1[[제품명]:[사양]],2,0),"")</f>
        <v/>
      </c>
      <c r="I84" s="100" t="str">
        <f>IFERROR(VLOOKUP($C84,[5]!BOM_개발품목_1[[제품명]:[사양]],5,0),"")</f>
        <v/>
      </c>
      <c r="J84" s="100" t="str">
        <f>IFERROR(VLOOKUP($C84,[5]!BOM_개발품목_1[[제품명]:[사양]],7,0),"")</f>
        <v/>
      </c>
      <c r="K84" t="s">
        <v>546</v>
      </c>
      <c r="M84" t="s">
        <v>685</v>
      </c>
    </row>
    <row r="85" spans="1:13">
      <c r="A85" s="70" t="str">
        <f t="shared" si="1"/>
        <v>_20241205</v>
      </c>
      <c r="B85" s="103">
        <v>45631</v>
      </c>
      <c r="C85" s="100" t="s">
        <v>541</v>
      </c>
      <c r="D85" t="s">
        <v>686</v>
      </c>
      <c r="E85">
        <v>100</v>
      </c>
      <c r="F85" s="103">
        <v>45636</v>
      </c>
      <c r="G85" s="100" t="str">
        <f>IFERROR(VLOOKUP($C85,[5]!BOM_개발품목_1[[제품명]:[사양]],4,0),"")</f>
        <v/>
      </c>
      <c r="H85" s="100" t="str">
        <f>IFERROR(VLOOKUP($C85,[5]!BOM_개발품목_1[[제품명]:[사양]],2,0),"")</f>
        <v/>
      </c>
      <c r="I85" s="100" t="str">
        <f>IFERROR(VLOOKUP($C85,[5]!BOM_개발품목_1[[제품명]:[사양]],5,0),"")</f>
        <v/>
      </c>
      <c r="J85" s="100" t="str">
        <f>IFERROR(VLOOKUP($C85,[5]!BOM_개발품목_1[[제품명]:[사양]],7,0),"")</f>
        <v/>
      </c>
      <c r="K85" t="s">
        <v>543</v>
      </c>
    </row>
    <row r="86" spans="1:13">
      <c r="A86" s="70" t="str">
        <f t="shared" si="1"/>
        <v>SI1568_20241205</v>
      </c>
      <c r="B86" s="103">
        <v>45631</v>
      </c>
      <c r="C86" s="100" t="s">
        <v>687</v>
      </c>
      <c r="D86" t="s">
        <v>675</v>
      </c>
      <c r="E86">
        <v>80</v>
      </c>
      <c r="F86" s="103">
        <v>45637</v>
      </c>
      <c r="G86" s="99" t="s">
        <v>688</v>
      </c>
      <c r="H86" s="100" t="str">
        <f>IFERROR(VLOOKUP($C86,[5]!BOM_개발품목_1[[제품명]:[사양]],2,0),"")</f>
        <v/>
      </c>
      <c r="I86" s="100" t="s">
        <v>689</v>
      </c>
      <c r="J86" s="100"/>
      <c r="K86" t="s">
        <v>690</v>
      </c>
      <c r="L86" s="109">
        <v>0.05</v>
      </c>
    </row>
    <row r="87" spans="1:13">
      <c r="A87" s="70" t="str">
        <f t="shared" si="1"/>
        <v>SI1352_20241205</v>
      </c>
      <c r="B87" s="103">
        <v>45631</v>
      </c>
      <c r="C87" s="100" t="s">
        <v>691</v>
      </c>
      <c r="D87" t="s">
        <v>692</v>
      </c>
      <c r="E87">
        <v>150</v>
      </c>
      <c r="F87" s="103">
        <v>45637</v>
      </c>
      <c r="G87" s="100" t="s">
        <v>693</v>
      </c>
      <c r="H87" s="100" t="str">
        <f>IFERROR(VLOOKUP($C87,[5]!BOM_개발품목_1[[제품명]:[사양]],2,0),"")</f>
        <v/>
      </c>
      <c r="I87" s="100" t="s">
        <v>694</v>
      </c>
      <c r="J87" s="100"/>
    </row>
    <row r="88" spans="1:13">
      <c r="A88" s="70" t="str">
        <f t="shared" si="1"/>
        <v>SI1524_20241205</v>
      </c>
      <c r="B88" s="103">
        <v>45631</v>
      </c>
      <c r="C88" s="100" t="s">
        <v>695</v>
      </c>
      <c r="D88" t="s">
        <v>696</v>
      </c>
      <c r="E88">
        <v>100</v>
      </c>
      <c r="F88" s="103">
        <v>45638</v>
      </c>
      <c r="G88" s="100" t="s">
        <v>697</v>
      </c>
      <c r="H88" s="100" t="str">
        <f>IFERROR(VLOOKUP($C88,[5]!BOM_개발품목_1[[제품명]:[사양]],2,0),"")</f>
        <v/>
      </c>
      <c r="I88" s="100" t="s">
        <v>698</v>
      </c>
      <c r="J88" s="100"/>
      <c r="K88" t="s">
        <v>699</v>
      </c>
      <c r="L88" s="109">
        <v>0.05</v>
      </c>
    </row>
    <row r="89" spans="1:13">
      <c r="A89" s="70" t="str">
        <f t="shared" si="1"/>
        <v>SI1569_20241205</v>
      </c>
      <c r="B89" s="103">
        <v>45631</v>
      </c>
      <c r="C89" s="100" t="s">
        <v>700</v>
      </c>
      <c r="D89" t="s">
        <v>701</v>
      </c>
      <c r="E89">
        <v>80</v>
      </c>
      <c r="F89" s="103">
        <v>45635</v>
      </c>
      <c r="G89" s="100" t="s">
        <v>702</v>
      </c>
      <c r="H89" s="100" t="str">
        <f>IFERROR(VLOOKUP($C89,[5]!BOM_개발품목_1[[제품명]:[사양]],2,0),"")</f>
        <v/>
      </c>
      <c r="I89" s="100" t="str">
        <f>IFERROR(VLOOKUP($C89,[5]!BOM_개발품목_1[[제품명]:[사양]],5,0),"")</f>
        <v/>
      </c>
      <c r="J89" s="100"/>
      <c r="K89" t="s">
        <v>703</v>
      </c>
    </row>
    <row r="90" spans="1:13">
      <c r="A90" s="70" t="str">
        <f t="shared" si="1"/>
        <v>_20241211</v>
      </c>
      <c r="B90" s="103">
        <v>45637</v>
      </c>
      <c r="C90" s="100" t="s">
        <v>548</v>
      </c>
      <c r="D90" t="s">
        <v>704</v>
      </c>
      <c r="E90">
        <v>100</v>
      </c>
      <c r="F90" s="103">
        <v>45637</v>
      </c>
      <c r="G90" s="100" t="str">
        <f>IFERROR(VLOOKUP($C90,[5]!BOM_개발품목_1[[제품명]:[사양]],4,0),"")</f>
        <v/>
      </c>
      <c r="H90" s="100" t="str">
        <f>IFERROR(VLOOKUP($C90,[5]!BOM_개발품목_1[[제품명]:[사양]],2,0),"")</f>
        <v/>
      </c>
      <c r="I90" s="100" t="str">
        <f>IFERROR(VLOOKUP($C90,[5]!BOM_개발품목_1[[제품명]:[사양]],5,0),"")</f>
        <v/>
      </c>
      <c r="J90" s="100" t="str">
        <f>IFERROR(VLOOKUP($C90,[5]!BOM_개발품목_1[[제품명]:[사양]],7,0),"")</f>
        <v/>
      </c>
      <c r="K90" t="s">
        <v>546</v>
      </c>
    </row>
    <row r="91" spans="1:13">
      <c r="A91" s="70" t="str">
        <f t="shared" si="1"/>
        <v>_20241211</v>
      </c>
      <c r="B91" s="103">
        <v>45637</v>
      </c>
      <c r="C91" s="100" t="s">
        <v>562</v>
      </c>
      <c r="D91" t="s">
        <v>705</v>
      </c>
      <c r="E91">
        <v>200</v>
      </c>
      <c r="F91" s="103">
        <v>45639</v>
      </c>
      <c r="G91" s="100" t="str">
        <f>IFERROR(VLOOKUP($C91,[5]!BOM_개발품목_1[[제품명]:[사양]],4,0),"")</f>
        <v/>
      </c>
      <c r="H91" s="100" t="str">
        <f>IFERROR(VLOOKUP($C91,[5]!BOM_개발품목_1[[제품명]:[사양]],2,0),"")</f>
        <v/>
      </c>
      <c r="I91" s="100" t="str">
        <f>IFERROR(VLOOKUP($C91,[5]!BOM_개발품목_1[[제품명]:[사양]],5,0),"")</f>
        <v/>
      </c>
      <c r="J91" s="104" t="s">
        <v>564</v>
      </c>
      <c r="K91" t="s">
        <v>565</v>
      </c>
    </row>
    <row r="92" spans="1:13">
      <c r="A92" s="70" t="str">
        <f t="shared" si="1"/>
        <v>_20241211</v>
      </c>
      <c r="B92" s="103">
        <v>45637</v>
      </c>
      <c r="C92" s="100" t="s">
        <v>571</v>
      </c>
      <c r="D92" t="s">
        <v>706</v>
      </c>
      <c r="E92">
        <v>100</v>
      </c>
      <c r="F92" s="108">
        <v>45638</v>
      </c>
      <c r="G92" s="100" t="str">
        <f>IFERROR(VLOOKUP($C92,[5]!BOM_개발품목_1[[제품명]:[사양]],4,0),"")</f>
        <v/>
      </c>
      <c r="H92" s="100" t="str">
        <f>IFERROR(VLOOKUP($C92,[5]!BOM_개발품목_1[[제품명]:[사양]],2,0),"")</f>
        <v/>
      </c>
      <c r="I92" s="100" t="str">
        <f>IFERROR(VLOOKUP($C92,[5]!BOM_개발품목_1[[제품명]:[사양]],5,0),"")</f>
        <v/>
      </c>
      <c r="J92" s="100" t="str">
        <f>IFERROR(VLOOKUP($C92,[5]!BOM_개발품목_1[[제품명]:[사양]],7,0),"")</f>
        <v/>
      </c>
    </row>
    <row r="93" spans="1:13">
      <c r="A93" s="70" t="str">
        <f t="shared" si="1"/>
        <v>SI1400_20241211</v>
      </c>
      <c r="B93" s="103">
        <v>45637</v>
      </c>
      <c r="C93" s="100" t="s">
        <v>707</v>
      </c>
      <c r="D93" t="s">
        <v>708</v>
      </c>
      <c r="E93">
        <v>100</v>
      </c>
      <c r="F93" s="108">
        <v>45638</v>
      </c>
      <c r="G93" s="100" t="s">
        <v>709</v>
      </c>
      <c r="H93" s="100"/>
      <c r="I93" s="100" t="s">
        <v>710</v>
      </c>
      <c r="J93" s="100"/>
      <c r="K93" t="s">
        <v>711</v>
      </c>
      <c r="M93" t="s">
        <v>712</v>
      </c>
    </row>
    <row r="94" spans="1:13">
      <c r="A94" s="70" t="str">
        <f t="shared" si="1"/>
        <v>SI1519_20241215</v>
      </c>
      <c r="B94" s="103">
        <v>45641</v>
      </c>
      <c r="C94" s="100" t="s">
        <v>538</v>
      </c>
      <c r="D94" t="s">
        <v>713</v>
      </c>
      <c r="E94">
        <v>200</v>
      </c>
      <c r="F94" s="101">
        <v>45642</v>
      </c>
      <c r="G94" s="100" t="s">
        <v>599</v>
      </c>
      <c r="H94" s="100" t="str">
        <f>IFERROR(VLOOKUP($C94,[5]!BOM_개발품목_1[[제품명]:[사양]],2,0),"")</f>
        <v/>
      </c>
      <c r="I94" s="100" t="str">
        <f>IFERROR(VLOOKUP($C94,[5]!BOM_개발품목_1[[제품명]:[사양]],5,0),"")</f>
        <v/>
      </c>
      <c r="J94" s="104" t="s">
        <v>540</v>
      </c>
      <c r="K94" t="s">
        <v>203</v>
      </c>
      <c r="M94" t="s">
        <v>714</v>
      </c>
    </row>
    <row r="95" spans="1:13">
      <c r="A95" s="70" t="str">
        <f t="shared" si="1"/>
        <v>_20241216</v>
      </c>
      <c r="B95" s="101">
        <v>45642</v>
      </c>
      <c r="C95" s="100" t="s">
        <v>544</v>
      </c>
      <c r="D95" s="99" t="s">
        <v>715</v>
      </c>
      <c r="E95">
        <v>100</v>
      </c>
      <c r="F95" s="101">
        <v>45649</v>
      </c>
      <c r="G95" s="100" t="str">
        <f>IFERROR(VLOOKUP($C95,[5]!BOM_개발품목_1[[제품명]:[사양]],4,0),"")</f>
        <v/>
      </c>
      <c r="H95" s="100" t="str">
        <f>IFERROR(VLOOKUP($C95,[5]!BOM_개발품목_1[[제품명]:[사양]],2,0),"")</f>
        <v/>
      </c>
      <c r="I95" s="100" t="str">
        <f>IFERROR(VLOOKUP($C95,[5]!BOM_개발품목_1[[제품명]:[사양]],5,0),"")</f>
        <v/>
      </c>
      <c r="J95" s="100" t="str">
        <f>IFERROR(VLOOKUP($C95,[5]!BOM_개발품목_1[[제품명]:[사양]],7,0),"")</f>
        <v/>
      </c>
      <c r="M95" s="112" t="s">
        <v>716</v>
      </c>
    </row>
    <row r="96" spans="1:13">
      <c r="A96" s="70" t="str">
        <f t="shared" si="1"/>
        <v>_20241216</v>
      </c>
      <c r="B96" s="103">
        <v>45642</v>
      </c>
      <c r="C96" s="100" t="s">
        <v>548</v>
      </c>
      <c r="D96" t="s">
        <v>717</v>
      </c>
      <c r="E96">
        <v>100</v>
      </c>
      <c r="F96" s="113"/>
      <c r="G96" s="100" t="str">
        <f>IFERROR(VLOOKUP($C96,[5]!BOM_개발품목_1[[제품명]:[사양]],4,0),"")</f>
        <v/>
      </c>
      <c r="H96" s="100" t="str">
        <f>IFERROR(VLOOKUP($C96,[5]!BOM_개발품목_1[[제품명]:[사양]],2,0),"")</f>
        <v/>
      </c>
      <c r="I96" s="100" t="str">
        <f>IFERROR(VLOOKUP($C96,[5]!BOM_개발품목_1[[제품명]:[사양]],5,0),"")</f>
        <v/>
      </c>
      <c r="J96" s="100" t="str">
        <f>IFERROR(VLOOKUP($C96,[5]!BOM_개발품목_1[[제품명]:[사양]],7,0),"")</f>
        <v/>
      </c>
      <c r="K96" t="s">
        <v>546</v>
      </c>
      <c r="M96" t="s">
        <v>718</v>
      </c>
    </row>
    <row r="97" spans="1:13" ht="165">
      <c r="A97" s="70" t="str">
        <f t="shared" si="1"/>
        <v>_20241216</v>
      </c>
      <c r="B97" s="101">
        <v>45642</v>
      </c>
      <c r="C97" s="100" t="s">
        <v>541</v>
      </c>
      <c r="D97" s="114" t="s">
        <v>719</v>
      </c>
      <c r="E97">
        <v>100</v>
      </c>
      <c r="F97" s="101">
        <v>45649</v>
      </c>
      <c r="G97" s="100" t="str">
        <f>IFERROR(VLOOKUP($C97,[5]!BOM_개발품목_1[[제품명]:[사양]],4,0),"")</f>
        <v/>
      </c>
      <c r="H97" s="100" t="str">
        <f>IFERROR(VLOOKUP($C97,[5]!BOM_개발품목_1[[제품명]:[사양]],2,0),"")</f>
        <v/>
      </c>
      <c r="I97" s="100" t="str">
        <f>IFERROR(VLOOKUP($C97,[5]!BOM_개발품목_1[[제품명]:[사양]],5,0),"")</f>
        <v/>
      </c>
      <c r="J97" s="100" t="str">
        <f>IFERROR(VLOOKUP($C97,[5]!BOM_개발품목_1[[제품명]:[사양]],7,0),"")</f>
        <v/>
      </c>
      <c r="K97" t="s">
        <v>543</v>
      </c>
      <c r="M97" t="s">
        <v>720</v>
      </c>
    </row>
    <row r="98" spans="1:13">
      <c r="A98" s="70" t="str">
        <f t="shared" si="1"/>
        <v>_20241216</v>
      </c>
      <c r="B98" s="103">
        <v>45642</v>
      </c>
      <c r="C98" s="100" t="s">
        <v>178</v>
      </c>
      <c r="D98" t="s">
        <v>721</v>
      </c>
      <c r="E98">
        <v>100</v>
      </c>
      <c r="F98" s="108">
        <v>45643</v>
      </c>
      <c r="G98" s="100" t="str">
        <f>IFERROR(VLOOKUP($C98,[5]!BOM_개발품목_1[[제품명]:[사양]],4,0),"")</f>
        <v/>
      </c>
      <c r="H98" s="100" t="str">
        <f>IFERROR(VLOOKUP($C98,[5]!BOM_개발품목_1[[제품명]:[사양]],2,0),"")</f>
        <v/>
      </c>
      <c r="I98" s="100" t="str">
        <f>IFERROR(VLOOKUP($C98,[5]!BOM_개발품목_1[[제품명]:[사양]],5,0),"")</f>
        <v/>
      </c>
      <c r="J98" s="100" t="str">
        <f>IFERROR(VLOOKUP($C98,[5]!BOM_개발품목_1[[제품명]:[사양]],7,0),"")</f>
        <v/>
      </c>
      <c r="K98" s="109" t="s">
        <v>650</v>
      </c>
      <c r="L98" s="109">
        <v>0.04</v>
      </c>
      <c r="M98" t="s">
        <v>651</v>
      </c>
    </row>
    <row r="99" spans="1:13">
      <c r="A99" s="101" t="str">
        <f t="shared" si="1"/>
        <v>_20241216</v>
      </c>
      <c r="B99" s="103">
        <v>45642</v>
      </c>
      <c r="C99" s="100" t="s">
        <v>548</v>
      </c>
      <c r="D99" t="s">
        <v>722</v>
      </c>
      <c r="E99">
        <v>50</v>
      </c>
      <c r="F99" s="101">
        <v>45642</v>
      </c>
      <c r="G99" s="100" t="str">
        <f>IFERROR(VLOOKUP($C99,[5]!BOM_개발품목_1[[제품명]:[사양]],4,0),"")</f>
        <v/>
      </c>
      <c r="H99" s="100" t="str">
        <f>IFERROR(VLOOKUP($C99,[5]!BOM_개발품목_1[[제품명]:[사양]],2,0),"")</f>
        <v/>
      </c>
      <c r="I99" s="100" t="str">
        <f>IFERROR(VLOOKUP($C99,[5]!BOM_개발품목_1[[제품명]:[사양]],5,0),"")</f>
        <v/>
      </c>
      <c r="J99" s="100" t="s">
        <v>723</v>
      </c>
      <c r="K99" t="s">
        <v>546</v>
      </c>
      <c r="M99" t="s">
        <v>724</v>
      </c>
    </row>
    <row r="100" spans="1:13">
      <c r="A100" s="101" t="str">
        <f t="shared" si="1"/>
        <v>_20241218</v>
      </c>
      <c r="B100" s="103">
        <v>45644</v>
      </c>
      <c r="C100" s="100" t="s">
        <v>592</v>
      </c>
      <c r="D100" t="s">
        <v>633</v>
      </c>
      <c r="E100">
        <v>200</v>
      </c>
      <c r="F100" s="103">
        <v>45646</v>
      </c>
      <c r="G100" s="100" t="str">
        <f>IFERROR(VLOOKUP($C100,[5]!BOM_개발품목_1[[제품명]:[사양]],4,0),"")</f>
        <v/>
      </c>
      <c r="H100" s="100" t="str">
        <f>IFERROR(VLOOKUP($C100,[5]!BOM_개발품목_1[[제품명]:[사양]],2,0),"")</f>
        <v/>
      </c>
      <c r="I100" s="100" t="str">
        <f>IFERROR(VLOOKUP($C100,[5]!BOM_개발품목_1[[제품명]:[사양]],5,0),"")</f>
        <v/>
      </c>
      <c r="J100" s="100" t="str">
        <f>IFERROR(VLOOKUP($C100,[5]!BOM_개발품목_1[[제품명]:[사양]],7,0),"")</f>
        <v/>
      </c>
      <c r="K100" t="s">
        <v>634</v>
      </c>
    </row>
    <row r="101" spans="1:13">
      <c r="A101" s="101" t="str">
        <f t="shared" si="1"/>
        <v>_20241218</v>
      </c>
      <c r="B101" s="103">
        <v>45644</v>
      </c>
      <c r="C101" s="100" t="s">
        <v>594</v>
      </c>
      <c r="D101" t="s">
        <v>635</v>
      </c>
      <c r="E101">
        <v>200</v>
      </c>
      <c r="F101" s="103">
        <v>45646</v>
      </c>
      <c r="G101" s="100" t="str">
        <f>IFERROR(VLOOKUP($C101,[5]!BOM_개발품목_1[[제품명]:[사양]],4,0),"")</f>
        <v/>
      </c>
      <c r="H101" s="100" t="str">
        <f>IFERROR(VLOOKUP($C101,[5]!BOM_개발품목_1[[제품명]:[사양]],2,0),"")</f>
        <v/>
      </c>
      <c r="I101" s="100" t="str">
        <f>IFERROR(VLOOKUP($C101,[5]!BOM_개발품목_1[[제품명]:[사양]],5,0),"")</f>
        <v/>
      </c>
      <c r="J101" s="100" t="str">
        <f>IFERROR(VLOOKUP($C101,[5]!BOM_개발품목_1[[제품명]:[사양]],7,0),"")</f>
        <v/>
      </c>
    </row>
    <row r="102" spans="1:13">
      <c r="A102" s="70" t="str">
        <f t="shared" si="1"/>
        <v>_20241218</v>
      </c>
      <c r="B102" s="103">
        <v>45644</v>
      </c>
      <c r="C102" s="100" t="s">
        <v>596</v>
      </c>
      <c r="D102" t="s">
        <v>635</v>
      </c>
      <c r="E102">
        <v>200</v>
      </c>
      <c r="F102" s="103">
        <v>45646</v>
      </c>
      <c r="G102" s="100" t="str">
        <f>IFERROR(VLOOKUP($C102,[5]!BOM_개발품목_1[[제품명]:[사양]],4,0),"")</f>
        <v/>
      </c>
      <c r="H102" s="100" t="str">
        <f>IFERROR(VLOOKUP($C102,[5]!BOM_개발품목_1[[제품명]:[사양]],2,0),"")</f>
        <v/>
      </c>
      <c r="I102" s="100" t="str">
        <f>IFERROR(VLOOKUP($C102,[5]!BOM_개발품목_1[[제품명]:[사양]],5,0),"")</f>
        <v/>
      </c>
      <c r="J102" s="100" t="str">
        <f>IFERROR(VLOOKUP($C102,[5]!BOM_개발품목_1[[제품명]:[사양]],7,0),"")</f>
        <v/>
      </c>
    </row>
    <row r="103" spans="1:13">
      <c r="A103" s="101" t="str">
        <f t="shared" si="1"/>
        <v>_20241218</v>
      </c>
      <c r="B103" s="103">
        <v>45644</v>
      </c>
      <c r="C103" s="100" t="s">
        <v>597</v>
      </c>
      <c r="D103" t="s">
        <v>635</v>
      </c>
      <c r="E103">
        <v>200</v>
      </c>
      <c r="F103" s="103">
        <v>45646</v>
      </c>
      <c r="G103" s="100" t="str">
        <f>IFERROR(VLOOKUP($C103,[5]!BOM_개발품목_1[[제품명]:[사양]],4,0),"")</f>
        <v/>
      </c>
      <c r="H103" s="100" t="str">
        <f>IFERROR(VLOOKUP($C103,[5]!BOM_개발품목_1[[제품명]:[사양]],2,0),"")</f>
        <v/>
      </c>
      <c r="I103" s="100" t="str">
        <f>IFERROR(VLOOKUP($C103,[5]!BOM_개발품목_1[[제품명]:[사양]],5,0),"")</f>
        <v/>
      </c>
      <c r="J103" s="100" t="str">
        <f>IFERROR(VLOOKUP($C103,[5]!BOM_개발품목_1[[제품명]:[사양]],7,0),"")</f>
        <v/>
      </c>
    </row>
    <row r="104" spans="1:13">
      <c r="A104" s="101" t="str">
        <f t="shared" si="1"/>
        <v>SI1519_20241218</v>
      </c>
      <c r="B104" s="103">
        <v>45644</v>
      </c>
      <c r="C104" s="100" t="s">
        <v>538</v>
      </c>
      <c r="D104" t="s">
        <v>725</v>
      </c>
      <c r="E104">
        <v>400</v>
      </c>
      <c r="F104" s="103">
        <v>45646</v>
      </c>
      <c r="G104" s="100" t="s">
        <v>599</v>
      </c>
      <c r="H104" s="100" t="str">
        <f>IFERROR(VLOOKUP($C104,[5]!BOM_개발품목_1[[제품명]:[사양]],2,0),"")</f>
        <v/>
      </c>
      <c r="I104" s="100" t="str">
        <f>IFERROR(VLOOKUP($C104,[5]!BOM_개발품목_1[[제품명]:[사양]],5,0),"")</f>
        <v/>
      </c>
      <c r="J104" s="104" t="s">
        <v>540</v>
      </c>
      <c r="K104" t="s">
        <v>203</v>
      </c>
    </row>
    <row r="105" spans="1:13">
      <c r="A105" s="101" t="str">
        <f t="shared" si="1"/>
        <v>SI1589_20241218</v>
      </c>
      <c r="B105" s="103">
        <v>45644</v>
      </c>
      <c r="C105" s="100" t="s">
        <v>561</v>
      </c>
      <c r="D105" t="s">
        <v>726</v>
      </c>
      <c r="E105">
        <v>200</v>
      </c>
      <c r="F105" s="103">
        <v>45646</v>
      </c>
      <c r="G105" s="100" t="s">
        <v>666</v>
      </c>
      <c r="H105" s="100" t="str">
        <f>IFERROR(VLOOKUP($C105,[5]!BOM_개발품목_1[[제품명]:[사양]],2,0),"")</f>
        <v/>
      </c>
      <c r="I105" s="100" t="str">
        <f>IFERROR(VLOOKUP($C105,[5]!BOM_개발품목_1[[제품명]:[사양]],5,0),"")</f>
        <v/>
      </c>
      <c r="J105" s="100" t="s">
        <v>667</v>
      </c>
    </row>
    <row r="106" spans="1:13">
      <c r="A106" s="101" t="str">
        <f t="shared" si="1"/>
        <v>SI1522_20241218</v>
      </c>
      <c r="B106" s="103">
        <v>45644</v>
      </c>
      <c r="C106" s="100" t="s">
        <v>601</v>
      </c>
      <c r="D106" t="s">
        <v>726</v>
      </c>
      <c r="E106">
        <v>100</v>
      </c>
      <c r="F106" s="103">
        <v>45646</v>
      </c>
      <c r="G106" s="100" t="s">
        <v>602</v>
      </c>
      <c r="H106" s="100" t="str">
        <f>IFERROR(VLOOKUP($C106,[5]!BOM_개발품목_1[[제품명]:[사양]],2,0),"")</f>
        <v/>
      </c>
      <c r="I106" s="100" t="str">
        <f>IFERROR(VLOOKUP($C106,[5]!BOM_개발품목_1[[제품명]:[사양]],5,0),"")</f>
        <v/>
      </c>
      <c r="J106" s="100" t="str">
        <f>IFERROR(VLOOKUP($C106,[5]!BOM_개발품목_1[[제품명]:[사양]],7,0),"")</f>
        <v/>
      </c>
      <c r="K106" t="s">
        <v>603</v>
      </c>
    </row>
    <row r="107" spans="1:13">
      <c r="A107" s="101" t="str">
        <f t="shared" si="1"/>
        <v>SI1586_20241218</v>
      </c>
      <c r="B107" s="103">
        <v>45644</v>
      </c>
      <c r="C107" s="100" t="s">
        <v>558</v>
      </c>
      <c r="D107" t="s">
        <v>726</v>
      </c>
      <c r="E107">
        <v>200</v>
      </c>
      <c r="F107" s="103">
        <v>45646</v>
      </c>
      <c r="G107" s="99" t="s">
        <v>669</v>
      </c>
      <c r="H107" s="100" t="str">
        <f>IFERROR(VLOOKUP($C107,[5]!BOM_개발품목_1[[제품명]:[사양]],2,0),"")</f>
        <v/>
      </c>
      <c r="I107" s="100" t="str">
        <f>IFERROR(VLOOKUP($C107,[5]!BOM_개발품목_1[[제품명]:[사양]],5,0),"")</f>
        <v/>
      </c>
      <c r="J107" s="100" t="s">
        <v>667</v>
      </c>
    </row>
    <row r="108" spans="1:13">
      <c r="A108" s="101" t="str">
        <f t="shared" si="1"/>
        <v>SI1587_20241218</v>
      </c>
      <c r="B108" s="103">
        <v>45644</v>
      </c>
      <c r="C108" s="100" t="s">
        <v>604</v>
      </c>
      <c r="D108" t="s">
        <v>726</v>
      </c>
      <c r="E108">
        <v>200</v>
      </c>
      <c r="F108" s="103">
        <v>45646</v>
      </c>
      <c r="G108" s="111" t="s">
        <v>671</v>
      </c>
      <c r="H108" s="100" t="str">
        <f>IFERROR(VLOOKUP($C108,[5]!BOM_개발품목_1[[제품명]:[사양]],2,0),"")</f>
        <v/>
      </c>
      <c r="I108" s="100" t="str">
        <f>IFERROR(VLOOKUP($C108,[5]!BOM_개발품목_1[[제품명]:[사양]],5,0),"")</f>
        <v/>
      </c>
      <c r="J108" s="100" t="s">
        <v>667</v>
      </c>
    </row>
    <row r="109" spans="1:13">
      <c r="A109" s="101" t="str">
        <f t="shared" si="1"/>
        <v>SI1588_20241218</v>
      </c>
      <c r="B109" s="103">
        <v>45644</v>
      </c>
      <c r="C109" s="100" t="s">
        <v>672</v>
      </c>
      <c r="D109" t="s">
        <v>726</v>
      </c>
      <c r="E109">
        <v>200</v>
      </c>
      <c r="F109" s="103">
        <v>45646</v>
      </c>
      <c r="G109" s="99" t="s">
        <v>727</v>
      </c>
      <c r="H109" s="100" t="str">
        <f>IFERROR(VLOOKUP($C109,[5]!BOM_개발품목_1[[제품명]:[사양]],2,0),"")</f>
        <v/>
      </c>
      <c r="I109" s="100" t="str">
        <f>IFERROR(VLOOKUP($C109,[5]!BOM_개발품목_1[[제품명]:[사양]],5,0),"")</f>
        <v/>
      </c>
      <c r="J109" s="100" t="s">
        <v>667</v>
      </c>
    </row>
    <row r="110" spans="1:13">
      <c r="A110" s="101" t="str">
        <f t="shared" si="1"/>
        <v>SI1519_20241219</v>
      </c>
      <c r="B110" s="103">
        <v>45645</v>
      </c>
      <c r="C110" s="100" t="s">
        <v>538</v>
      </c>
      <c r="D110" t="s">
        <v>728</v>
      </c>
      <c r="E110">
        <v>200</v>
      </c>
      <c r="F110" s="103">
        <v>45646</v>
      </c>
      <c r="G110" s="100" t="s">
        <v>599</v>
      </c>
      <c r="H110" s="100" t="str">
        <f>IFERROR(VLOOKUP($C110,[5]!BOM_개발품목_1[[제품명]:[사양]],2,0),"")</f>
        <v/>
      </c>
      <c r="I110" s="100" t="str">
        <f>IFERROR(VLOOKUP($C110,[5]!BOM_개발품목_1[[제품명]:[사양]],5,0),"")</f>
        <v/>
      </c>
      <c r="J110" s="104" t="s">
        <v>540</v>
      </c>
      <c r="K110" t="s">
        <v>203</v>
      </c>
      <c r="M110" s="99" t="s">
        <v>729</v>
      </c>
    </row>
    <row r="111" spans="1:13">
      <c r="A111" s="101" t="str">
        <f t="shared" si="1"/>
        <v>SI1589_20241219</v>
      </c>
      <c r="B111" s="103">
        <v>45645</v>
      </c>
      <c r="C111" s="100" t="s">
        <v>561</v>
      </c>
      <c r="D111" t="s">
        <v>730</v>
      </c>
      <c r="E111">
        <v>200</v>
      </c>
      <c r="F111" s="103">
        <v>45646</v>
      </c>
      <c r="G111" s="100" t="s">
        <v>666</v>
      </c>
      <c r="H111" s="100" t="str">
        <f>IFERROR(VLOOKUP($C111,[5]!BOM_개발품목_1[[제품명]:[사양]],2,0),"")</f>
        <v/>
      </c>
      <c r="I111" s="100" t="str">
        <f>IFERROR(VLOOKUP($C111,[5]!BOM_개발품목_1[[제품명]:[사양]],5,0),"")</f>
        <v/>
      </c>
      <c r="J111" s="100" t="s">
        <v>667</v>
      </c>
    </row>
    <row r="112" spans="1:13">
      <c r="A112" s="101" t="str">
        <f t="shared" si="1"/>
        <v>SI1522_20241219</v>
      </c>
      <c r="B112" s="103">
        <v>45645</v>
      </c>
      <c r="C112" s="100" t="s">
        <v>601</v>
      </c>
      <c r="D112" t="s">
        <v>730</v>
      </c>
      <c r="E112">
        <v>100</v>
      </c>
      <c r="F112" s="103">
        <v>45646</v>
      </c>
      <c r="G112" s="100" t="s">
        <v>602</v>
      </c>
      <c r="H112" s="100" t="str">
        <f>IFERROR(VLOOKUP($C112,[5]!BOM_개발품목_1[[제품명]:[사양]],2,0),"")</f>
        <v/>
      </c>
      <c r="I112" s="100" t="str">
        <f>IFERROR(VLOOKUP($C112,[5]!BOM_개발품목_1[[제품명]:[사양]],5,0),"")</f>
        <v/>
      </c>
      <c r="J112" s="100" t="str">
        <f>IFERROR(VLOOKUP($C112,[5]!BOM_개발품목_1[[제품명]:[사양]],7,0),"")</f>
        <v/>
      </c>
      <c r="K112" t="s">
        <v>603</v>
      </c>
    </row>
    <row r="113" spans="1:13">
      <c r="A113" s="101" t="str">
        <f t="shared" si="1"/>
        <v>SI1586_20241219</v>
      </c>
      <c r="B113" s="103">
        <v>45645</v>
      </c>
      <c r="C113" s="100" t="s">
        <v>558</v>
      </c>
      <c r="D113" t="s">
        <v>730</v>
      </c>
      <c r="E113">
        <v>200</v>
      </c>
      <c r="F113" s="103">
        <v>45646</v>
      </c>
      <c r="G113" s="99" t="s">
        <v>669</v>
      </c>
      <c r="H113" s="100" t="str">
        <f>IFERROR(VLOOKUP($C113,[5]!BOM_개발품목_1[[제품명]:[사양]],2,0),"")</f>
        <v/>
      </c>
      <c r="I113" s="100" t="str">
        <f>IFERROR(VLOOKUP($C113,[5]!BOM_개발품목_1[[제품명]:[사양]],5,0),"")</f>
        <v/>
      </c>
      <c r="J113" s="100" t="s">
        <v>667</v>
      </c>
    </row>
    <row r="114" spans="1:13">
      <c r="A114" s="101" t="str">
        <f t="shared" si="1"/>
        <v>SI1587_20241219</v>
      </c>
      <c r="B114" s="103">
        <v>45645</v>
      </c>
      <c r="C114" s="100" t="s">
        <v>604</v>
      </c>
      <c r="D114" t="s">
        <v>730</v>
      </c>
      <c r="E114">
        <v>200</v>
      </c>
      <c r="F114" s="103">
        <v>45646</v>
      </c>
      <c r="G114" s="111" t="s">
        <v>671</v>
      </c>
      <c r="H114" s="100" t="str">
        <f>IFERROR(VLOOKUP($C114,[5]!BOM_개발품목_1[[제품명]:[사양]],2,0),"")</f>
        <v/>
      </c>
      <c r="I114" s="100" t="str">
        <f>IFERROR(VLOOKUP($C114,[5]!BOM_개발품목_1[[제품명]:[사양]],5,0),"")</f>
        <v/>
      </c>
      <c r="J114" s="100" t="s">
        <v>667</v>
      </c>
    </row>
    <row r="115" spans="1:13">
      <c r="A115" s="101" t="str">
        <f t="shared" si="1"/>
        <v>SI1588_20241219</v>
      </c>
      <c r="B115" s="103">
        <v>45645</v>
      </c>
      <c r="C115" s="100" t="s">
        <v>672</v>
      </c>
      <c r="D115" t="s">
        <v>730</v>
      </c>
      <c r="E115">
        <v>200</v>
      </c>
      <c r="F115" s="103">
        <v>45646</v>
      </c>
      <c r="G115" s="99" t="s">
        <v>727</v>
      </c>
      <c r="H115" s="100" t="str">
        <f>IFERROR(VLOOKUP($C115,[5]!BOM_개발품목_1[[제품명]:[사양]],2,0),"")</f>
        <v/>
      </c>
      <c r="I115" s="100" t="str">
        <f>IFERROR(VLOOKUP($C115,[5]!BOM_개발품목_1[[제품명]:[사양]],5,0),"")</f>
        <v/>
      </c>
      <c r="J115" s="100" t="s">
        <v>667</v>
      </c>
    </row>
    <row r="116" spans="1:13">
      <c r="A116" s="101" t="str">
        <f t="shared" si="1"/>
        <v>_20241221</v>
      </c>
      <c r="B116" s="103">
        <v>45647</v>
      </c>
      <c r="C116" s="99" t="s">
        <v>731</v>
      </c>
      <c r="D116" t="s">
        <v>732</v>
      </c>
      <c r="E116">
        <v>100</v>
      </c>
      <c r="F116" s="103"/>
      <c r="G116" s="100" t="str">
        <f>IFERROR(VLOOKUP($C116,[5]!BOM_개발품목_1[[제품명]:[사양]],4,0),"")</f>
        <v/>
      </c>
      <c r="H116" s="100"/>
      <c r="I116" s="100"/>
      <c r="J116" s="100"/>
    </row>
    <row r="117" spans="1:13">
      <c r="A117" s="70" t="str">
        <f t="shared" si="1"/>
        <v>_20241221</v>
      </c>
      <c r="B117" s="103">
        <v>45647</v>
      </c>
      <c r="C117" s="99" t="s">
        <v>733</v>
      </c>
      <c r="D117" t="s">
        <v>734</v>
      </c>
      <c r="E117">
        <v>100</v>
      </c>
      <c r="F117" s="103">
        <v>45650</v>
      </c>
      <c r="G117" s="100" t="str">
        <f>IFERROR(VLOOKUP($C117,[5]!BOM_개발품목_1[[제품명]:[사양]],4,0),"")</f>
        <v/>
      </c>
      <c r="H117" s="100"/>
      <c r="I117" s="100"/>
      <c r="J117" s="100"/>
      <c r="M117" t="s">
        <v>735</v>
      </c>
    </row>
    <row r="118" spans="1:13">
      <c r="A118" s="101" t="str">
        <f t="shared" si="1"/>
        <v>_20241221</v>
      </c>
      <c r="B118" s="103">
        <v>45647</v>
      </c>
      <c r="C118" s="99" t="s">
        <v>736</v>
      </c>
      <c r="D118" t="s">
        <v>737</v>
      </c>
      <c r="E118">
        <v>100</v>
      </c>
      <c r="F118" s="103">
        <v>45650</v>
      </c>
      <c r="G118" s="100" t="str">
        <f>IFERROR(VLOOKUP($C118,[5]!BOM_개발품목_1[[제품명]:[사양]],4,0),"")</f>
        <v/>
      </c>
      <c r="H118" s="100"/>
      <c r="I118" s="100"/>
      <c r="J118" s="100"/>
      <c r="M118" t="s">
        <v>738</v>
      </c>
    </row>
    <row r="119" spans="1:13">
      <c r="A119" s="70" t="str">
        <f t="shared" si="1"/>
        <v>_20241221</v>
      </c>
      <c r="B119" s="103">
        <v>45647</v>
      </c>
      <c r="C119" s="99" t="s">
        <v>739</v>
      </c>
      <c r="D119" t="s">
        <v>740</v>
      </c>
      <c r="E119">
        <v>100</v>
      </c>
      <c r="G119" s="100" t="str">
        <f>IFERROR(VLOOKUP($C119,[5]!BOM_개발품목_1[[제품명]:[사양]],4,0),"")</f>
        <v/>
      </c>
      <c r="H119" s="100"/>
      <c r="I119" s="100"/>
      <c r="J119" s="100"/>
    </row>
    <row r="120" spans="1:13">
      <c r="A120" s="101" t="str">
        <f t="shared" si="1"/>
        <v>_20241222</v>
      </c>
      <c r="B120" s="103">
        <v>45648</v>
      </c>
      <c r="C120" s="100" t="s">
        <v>562</v>
      </c>
      <c r="D120" s="99" t="s">
        <v>705</v>
      </c>
      <c r="E120">
        <v>200</v>
      </c>
      <c r="F120" s="103">
        <v>45653</v>
      </c>
      <c r="G120" s="100" t="str">
        <f>IFERROR(VLOOKUP($C120,[5]!BOM_개발품목_1[[제품명]:[사양]],4,0),"")</f>
        <v/>
      </c>
      <c r="H120" s="100" t="str">
        <f>IFERROR(VLOOKUP($C120,[5]!BOM_개발품목_1[[제품명]:[사양]],2,0),"")</f>
        <v/>
      </c>
      <c r="I120" s="100" t="str">
        <f>IFERROR(VLOOKUP($C120,[5]!BOM_개발품목_1[[제품명]:[사양]],5,0),"")</f>
        <v/>
      </c>
      <c r="J120" s="104" t="s">
        <v>564</v>
      </c>
      <c r="K120" t="s">
        <v>565</v>
      </c>
      <c r="M120" t="s">
        <v>741</v>
      </c>
    </row>
    <row r="121" spans="1:13">
      <c r="A121" s="101" t="str">
        <f t="shared" si="1"/>
        <v>_20241222</v>
      </c>
      <c r="B121" s="103">
        <v>45648</v>
      </c>
      <c r="C121" s="100" t="s">
        <v>562</v>
      </c>
      <c r="D121" s="99" t="s">
        <v>742</v>
      </c>
      <c r="E121">
        <v>200</v>
      </c>
      <c r="F121" s="103">
        <v>45653</v>
      </c>
      <c r="G121" s="100" t="str">
        <f>IFERROR(VLOOKUP($C121,[5]!BOM_개발품목_1[[제품명]:[사양]],4,0),"")</f>
        <v/>
      </c>
      <c r="H121" s="100" t="str">
        <f>IFERROR(VLOOKUP($C121,[5]!BOM_개발품목_1[[제품명]:[사양]],2,0),"")</f>
        <v/>
      </c>
      <c r="I121" s="100" t="str">
        <f>IFERROR(VLOOKUP($C121,[5]!BOM_개발품목_1[[제품명]:[사양]],5,0),"")</f>
        <v/>
      </c>
      <c r="J121" s="104" t="s">
        <v>743</v>
      </c>
      <c r="K121" t="s">
        <v>565</v>
      </c>
      <c r="M121" t="s">
        <v>744</v>
      </c>
    </row>
    <row r="122" spans="1:13" ht="165">
      <c r="A122" s="115" t="str">
        <f t="shared" si="1"/>
        <v>_20241222</v>
      </c>
      <c r="B122" s="103">
        <v>45648</v>
      </c>
      <c r="C122" s="100" t="s">
        <v>541</v>
      </c>
      <c r="D122" s="105" t="s">
        <v>719</v>
      </c>
      <c r="E122">
        <v>100</v>
      </c>
      <c r="F122" s="103">
        <v>45649</v>
      </c>
      <c r="G122" s="100" t="str">
        <f>IFERROR(VLOOKUP($C122,[5]!BOM_개발품목_1[[제품명]:[사양]],4,0),"")</f>
        <v/>
      </c>
      <c r="H122" s="100" t="str">
        <f>IFERROR(VLOOKUP($C122,[5]!BOM_개발품목_1[[제품명]:[사양]],2,0),"")</f>
        <v/>
      </c>
      <c r="I122" s="100" t="str">
        <f>IFERROR(VLOOKUP($C122,[5]!BOM_개발품목_1[[제품명]:[사양]],5,0),"")</f>
        <v/>
      </c>
      <c r="J122" s="100" t="str">
        <f>IFERROR(VLOOKUP($C122,[5]!BOM_개발품목_1[[제품명]:[사양]],7,0),"")</f>
        <v/>
      </c>
    </row>
    <row r="123" spans="1:13">
      <c r="A123" s="115" t="str">
        <f t="shared" si="1"/>
        <v>_20241225</v>
      </c>
      <c r="B123" s="103">
        <v>45651</v>
      </c>
      <c r="C123" s="100" t="s">
        <v>544</v>
      </c>
      <c r="D123" t="s">
        <v>715</v>
      </c>
      <c r="E123">
        <v>100</v>
      </c>
      <c r="F123" s="103">
        <v>45651</v>
      </c>
      <c r="G123" s="100" t="str">
        <f>IFERROR(VLOOKUP($C123,[5]!BOM_개발품목_1[[제품명]:[사양]],4,0),"")</f>
        <v/>
      </c>
      <c r="H123" s="100" t="str">
        <f>IFERROR(VLOOKUP($C123,[5]!BOM_개발품목_1[[제품명]:[사양]],2,0),"")</f>
        <v/>
      </c>
      <c r="I123" s="100" t="str">
        <f>IFERROR(VLOOKUP($C123,[5]!BOM_개발품목_1[[제품명]:[사양]],5,0),"")</f>
        <v/>
      </c>
      <c r="J123" s="100" t="str">
        <f>IFERROR(VLOOKUP($C123,[5]!BOM_개발품목_1[[제품명]:[사양]],7,0),"")</f>
        <v/>
      </c>
    </row>
    <row r="124" spans="1:13">
      <c r="A124" s="99" t="str">
        <f t="shared" si="1"/>
        <v>SI1499_20241226</v>
      </c>
      <c r="B124" s="103">
        <v>45652</v>
      </c>
      <c r="C124" s="100" t="s">
        <v>745</v>
      </c>
      <c r="D124" t="s">
        <v>746</v>
      </c>
      <c r="E124">
        <v>80</v>
      </c>
      <c r="F124" s="103">
        <v>45660</v>
      </c>
      <c r="G124" s="100" t="s">
        <v>747</v>
      </c>
      <c r="H124" s="100"/>
      <c r="I124" s="100"/>
      <c r="J124" s="100" t="s">
        <v>748</v>
      </c>
      <c r="K124" t="s">
        <v>749</v>
      </c>
    </row>
    <row r="125" spans="1:13">
      <c r="A125" s="99" t="str">
        <f t="shared" si="1"/>
        <v>SI1556_20241226</v>
      </c>
      <c r="B125" s="103">
        <v>45652</v>
      </c>
      <c r="C125" s="100" t="s">
        <v>750</v>
      </c>
      <c r="D125" t="s">
        <v>751</v>
      </c>
      <c r="E125">
        <v>100</v>
      </c>
      <c r="G125" s="100" t="s">
        <v>752</v>
      </c>
      <c r="H125" s="100"/>
      <c r="I125" s="100"/>
      <c r="J125" s="100" t="s">
        <v>309</v>
      </c>
      <c r="K125" t="s">
        <v>565</v>
      </c>
    </row>
    <row r="126" spans="1:13">
      <c r="A126" s="99" t="str">
        <f t="shared" si="1"/>
        <v>_20241227</v>
      </c>
      <c r="B126" s="103">
        <v>45653</v>
      </c>
      <c r="C126" s="100" t="s">
        <v>594</v>
      </c>
      <c r="D126" t="s">
        <v>753</v>
      </c>
      <c r="E126">
        <v>200</v>
      </c>
      <c r="F126" s="103">
        <v>45646</v>
      </c>
      <c r="G126" s="100" t="str">
        <f>IFERROR(VLOOKUP($C126,[5]!BOM_개발품목_1[[제품명]:[사양]],4,0),"")</f>
        <v/>
      </c>
      <c r="H126" s="100" t="str">
        <f>IFERROR(VLOOKUP($C126,[5]!BOM_개발품목_1[[제품명]:[사양]],2,0),"")</f>
        <v/>
      </c>
      <c r="I126" s="100" t="str">
        <f>IFERROR(VLOOKUP($C126,[5]!BOM_개발품목_1[[제품명]:[사양]],5,0),"")</f>
        <v/>
      </c>
      <c r="J126" s="100" t="str">
        <f>IFERROR(VLOOKUP($C126,[5]!BOM_개발품목_1[[제품명]:[사양]],7,0),"")</f>
        <v/>
      </c>
      <c r="K126" t="s">
        <v>754</v>
      </c>
    </row>
    <row r="127" spans="1:13">
      <c r="A127" s="99" t="str">
        <f t="shared" si="1"/>
        <v>_19000100</v>
      </c>
      <c r="B127"/>
      <c r="C127" s="100"/>
      <c r="D127" t="s">
        <v>755</v>
      </c>
      <c r="G127" s="100"/>
      <c r="H127" s="100"/>
      <c r="I127" s="100"/>
      <c r="J127" s="100"/>
    </row>
    <row r="128" spans="1:13">
      <c r="A128" s="99" t="str">
        <f t="shared" si="1"/>
        <v>SI1519_20241227</v>
      </c>
      <c r="B128" s="103">
        <v>45653</v>
      </c>
      <c r="C128" s="100" t="s">
        <v>538</v>
      </c>
      <c r="D128" t="s">
        <v>756</v>
      </c>
      <c r="E128">
        <v>200</v>
      </c>
      <c r="F128" s="103">
        <v>45659</v>
      </c>
      <c r="G128" s="100" t="s">
        <v>599</v>
      </c>
      <c r="H128" s="100" t="str">
        <f>IFERROR(VLOOKUP($C128,[5]!BOM_개발품목_1[[제품명]:[사양]],2,0),"")</f>
        <v/>
      </c>
      <c r="I128" s="100" t="str">
        <f>IFERROR(VLOOKUP($C128,[5]!BOM_개발품목_1[[제품명]:[사양]],5,0),"")</f>
        <v/>
      </c>
      <c r="J128" s="104" t="s">
        <v>540</v>
      </c>
      <c r="K128" t="s">
        <v>203</v>
      </c>
    </row>
    <row r="129" spans="1:12">
      <c r="A129" s="99" t="str">
        <f t="shared" si="1"/>
        <v>SI1519_20241227</v>
      </c>
      <c r="B129" s="103">
        <v>45653</v>
      </c>
      <c r="C129" s="100" t="s">
        <v>538</v>
      </c>
      <c r="D129" t="s">
        <v>757</v>
      </c>
      <c r="E129">
        <v>200</v>
      </c>
      <c r="F129" s="103">
        <v>45659</v>
      </c>
      <c r="G129" s="100" t="s">
        <v>599</v>
      </c>
      <c r="H129" s="100" t="str">
        <f>IFERROR(VLOOKUP($C129,[5]!BOM_개발품목_1[[제품명]:[사양]],2,0),"")</f>
        <v/>
      </c>
      <c r="I129" s="100" t="str">
        <f>IFERROR(VLOOKUP($C129,[5]!BOM_개발품목_1[[제품명]:[사양]],5,0),"")</f>
        <v/>
      </c>
      <c r="J129" s="104" t="s">
        <v>540</v>
      </c>
      <c r="K129" t="s">
        <v>203</v>
      </c>
    </row>
    <row r="130" spans="1:12">
      <c r="A130" s="99" t="str">
        <f t="shared" si="1"/>
        <v>_20241227</v>
      </c>
      <c r="B130" s="103">
        <v>45653</v>
      </c>
      <c r="C130" s="100" t="s">
        <v>549</v>
      </c>
      <c r="D130" t="s">
        <v>758</v>
      </c>
      <c r="E130">
        <v>200</v>
      </c>
      <c r="F130" s="103">
        <v>45662</v>
      </c>
      <c r="G130" s="100" t="str">
        <f>IFERROR(VLOOKUP($C130,[5]!BOM_개발품목_1[[제품명]:[사양]],4,0),"")</f>
        <v/>
      </c>
      <c r="H130" s="100" t="str">
        <f>IFERROR(VLOOKUP($C130,[5]!BOM_개발품목_1[[제품명]:[사양]],2,0),"")</f>
        <v/>
      </c>
      <c r="I130" s="100" t="str">
        <f>IFERROR(VLOOKUP($C130,[5]!BOM_개발품목_1[[제품명]:[사양]],5,0),"")</f>
        <v/>
      </c>
      <c r="J130" s="100" t="str">
        <f>IFERROR(VLOOKUP($C130,[5]!BOM_개발품목_1[[제품명]:[사양]],7,0),"")</f>
        <v/>
      </c>
      <c r="K130" t="s">
        <v>759</v>
      </c>
    </row>
    <row r="131" spans="1:12">
      <c r="A131" s="99" t="str">
        <f t="shared" si="1"/>
        <v>_20241227</v>
      </c>
      <c r="B131" s="103">
        <v>45653</v>
      </c>
      <c r="C131" s="100" t="s">
        <v>760</v>
      </c>
      <c r="D131" t="s">
        <v>761</v>
      </c>
      <c r="G131" s="100"/>
      <c r="H131" s="100"/>
      <c r="I131" s="100"/>
      <c r="J131" s="100"/>
    </row>
    <row r="132" spans="1:12">
      <c r="A132" s="99" t="str">
        <f t="shared" ref="A132:A196" si="2">IFERROR(G132&amp;"_"&amp;YEAR(B132)&amp;TEXT(MONTH(B132),"00")&amp;TEXT(DAY(B132),"00"),"")</f>
        <v>SI1519_20250102</v>
      </c>
      <c r="B132" s="103">
        <v>45659</v>
      </c>
      <c r="C132" s="100" t="s">
        <v>538</v>
      </c>
      <c r="D132" t="s">
        <v>725</v>
      </c>
      <c r="E132">
        <v>400</v>
      </c>
      <c r="F132" s="103">
        <v>45660</v>
      </c>
      <c r="G132" s="100" t="s">
        <v>599</v>
      </c>
      <c r="H132" s="100" t="str">
        <f>IFERROR(VLOOKUP($C132,[5]!BOM_개발품목_1[[제품명]:[사양]],2,0),"")</f>
        <v/>
      </c>
      <c r="I132" s="100" t="str">
        <f>IFERROR(VLOOKUP($C132,[5]!BOM_개발품목_1[[제품명]:[사양]],5,0),"")</f>
        <v/>
      </c>
      <c r="J132" s="104" t="s">
        <v>540</v>
      </c>
      <c r="K132" t="s">
        <v>203</v>
      </c>
    </row>
    <row r="133" spans="1:12" ht="99">
      <c r="A133" s="99" t="str">
        <f t="shared" si="2"/>
        <v>_20250106</v>
      </c>
      <c r="B133" s="103">
        <v>45663</v>
      </c>
      <c r="C133" s="100" t="s">
        <v>541</v>
      </c>
      <c r="D133" s="105" t="s">
        <v>762</v>
      </c>
      <c r="E133">
        <v>150</v>
      </c>
      <c r="F133" s="103">
        <v>45664</v>
      </c>
      <c r="G133" s="100" t="str">
        <f>IFERROR(VLOOKUP($C133,[5]!BOM_개발품목_1[[제품명]:[사양]],4,0),"")</f>
        <v/>
      </c>
      <c r="H133" s="100" t="str">
        <f>IFERROR(VLOOKUP($C133,[5]!BOM_개발품목_1[[제품명]:[사양]],2,0),"")</f>
        <v/>
      </c>
      <c r="I133" s="100" t="str">
        <f>IFERROR(VLOOKUP($C133,[5]!BOM_개발품목_1[[제품명]:[사양]],5,0),"")</f>
        <v/>
      </c>
      <c r="J133" s="100" t="str">
        <f>IFERROR(VLOOKUP($C133,[5]!BOM_개발품목_1[[제품명]:[사양]],7,0),"")</f>
        <v/>
      </c>
    </row>
    <row r="134" spans="1:12">
      <c r="A134" s="99" t="str">
        <f t="shared" si="2"/>
        <v>_20250106</v>
      </c>
      <c r="B134" s="103">
        <v>45663</v>
      </c>
      <c r="C134" s="100" t="s">
        <v>548</v>
      </c>
      <c r="D134" t="s">
        <v>763</v>
      </c>
      <c r="E134">
        <v>200</v>
      </c>
      <c r="F134" s="103">
        <v>45664</v>
      </c>
      <c r="G134" s="100" t="str">
        <f>IFERROR(VLOOKUP($C134,[5]!BOM_개발품목_1[[제품명]:[사양]],4,0),"")</f>
        <v/>
      </c>
      <c r="H134" s="100" t="str">
        <f>IFERROR(VLOOKUP($C134,[5]!BOM_개발품목_1[[제품명]:[사양]],2,0),"")</f>
        <v/>
      </c>
      <c r="I134" s="100" t="str">
        <f>IFERROR(VLOOKUP($C134,[5]!BOM_개발품목_1[[제품명]:[사양]],5,0),"")</f>
        <v/>
      </c>
      <c r="J134" s="100" t="str">
        <f>IFERROR(VLOOKUP($C134,[5]!BOM_개발품목_1[[제품명]:[사양]],7,0),"")</f>
        <v/>
      </c>
      <c r="K134" t="s">
        <v>546</v>
      </c>
    </row>
    <row r="135" spans="1:12">
      <c r="A135" s="99" t="str">
        <f t="shared" si="2"/>
        <v>_20250106</v>
      </c>
      <c r="B135" s="103">
        <v>45663</v>
      </c>
      <c r="C135" s="100" t="s">
        <v>597</v>
      </c>
      <c r="D135" t="s">
        <v>764</v>
      </c>
      <c r="E135">
        <v>150</v>
      </c>
      <c r="F135" s="103">
        <v>45646</v>
      </c>
      <c r="G135" s="100" t="str">
        <f>IFERROR(VLOOKUP($C135,[5]!BOM_개발품목_1[[제품명]:[사양]],4,0),"")</f>
        <v/>
      </c>
      <c r="H135" s="100" t="str">
        <f>IFERROR(VLOOKUP($C135,[5]!BOM_개발품목_1[[제품명]:[사양]],2,0),"")</f>
        <v/>
      </c>
      <c r="I135" s="100" t="str">
        <f>IFERROR(VLOOKUP($C135,[5]!BOM_개발품목_1[[제품명]:[사양]],5,0),"")</f>
        <v/>
      </c>
      <c r="J135" s="100" t="str">
        <f>IFERROR(VLOOKUP($C135,[5]!BOM_개발품목_1[[제품명]:[사양]],7,0),"")</f>
        <v/>
      </c>
      <c r="K135" t="s">
        <v>307</v>
      </c>
      <c r="L135">
        <v>5</v>
      </c>
    </row>
    <row r="136" spans="1:12">
      <c r="A136" s="99" t="str">
        <f t="shared" si="2"/>
        <v>_20250108</v>
      </c>
      <c r="B136" s="103">
        <v>45665</v>
      </c>
      <c r="C136" s="100" t="s">
        <v>765</v>
      </c>
      <c r="D136" t="s">
        <v>764</v>
      </c>
      <c r="G136" s="100" t="str">
        <f>IFERROR(VLOOKUP($C136,[5]!BOM_개발품목_1[[제품명]:[사양]],4,0),"")</f>
        <v/>
      </c>
      <c r="H136" s="100" t="str">
        <f>IFERROR(VLOOKUP($C136,[5]!BOM_개발품목_1[[제품명]:[사양]],2,0),"")</f>
        <v/>
      </c>
      <c r="I136" s="100" t="str">
        <f>IFERROR(VLOOKUP($C136,[5]!BOM_개발품목_1[[제품명]:[사양]],5,0),"")</f>
        <v/>
      </c>
      <c r="J136" s="100" t="str">
        <f>IFERROR(VLOOKUP($C136,[5]!BOM_개발품목_1[[제품명]:[사양]],7,0),"")</f>
        <v/>
      </c>
    </row>
    <row r="137" spans="1:12">
      <c r="A137" s="100" t="str">
        <f t="shared" si="2"/>
        <v>_20250110</v>
      </c>
      <c r="B137" s="103">
        <v>45667</v>
      </c>
      <c r="C137" s="100" t="s">
        <v>766</v>
      </c>
      <c r="D137" t="s">
        <v>764</v>
      </c>
      <c r="G137" s="100" t="str">
        <f>IFERROR(VLOOKUP($C137,[5]!BOM_개발품목_1[[제품명]:[사양]],4,0),"")</f>
        <v/>
      </c>
      <c r="H137" s="100" t="str">
        <f>IFERROR(VLOOKUP($C137,[5]!BOM_개발품목_1[[제품명]:[사양]],2,0),"")</f>
        <v/>
      </c>
      <c r="I137" s="100" t="str">
        <f>IFERROR(VLOOKUP($C137,[5]!BOM_개발품목_1[[제품명]:[사양]],5,0),"")</f>
        <v/>
      </c>
      <c r="J137" s="100" t="str">
        <f>IFERROR(VLOOKUP($C137,[5]!BOM_개발품목_1[[제품명]:[사양]],7,0),"")</f>
        <v/>
      </c>
    </row>
    <row r="138" spans="1:12">
      <c r="A138" s="100" t="str">
        <f t="shared" si="2"/>
        <v>_20250110</v>
      </c>
      <c r="B138" s="103">
        <v>45667</v>
      </c>
      <c r="C138" s="100" t="s">
        <v>767</v>
      </c>
      <c r="D138" t="s">
        <v>764</v>
      </c>
      <c r="G138" s="100" t="str">
        <f>IFERROR(VLOOKUP($C138,[5]!BOM_개발품목_1[[제품명]:[사양]],4,0),"")</f>
        <v/>
      </c>
      <c r="H138" s="100" t="str">
        <f>IFERROR(VLOOKUP($C138,[5]!BOM_개발품목_1[[제품명]:[사양]],2,0),"")</f>
        <v/>
      </c>
      <c r="I138" s="100" t="str">
        <f>IFERROR(VLOOKUP($C138,[5]!BOM_개발품목_1[[제품명]:[사양]],5,0),"")</f>
        <v/>
      </c>
      <c r="J138" s="100" t="str">
        <f>IFERROR(VLOOKUP($C138,[5]!BOM_개발품목_1[[제품명]:[사양]],7,0),"")</f>
        <v/>
      </c>
    </row>
    <row r="139" spans="1:12">
      <c r="A139" s="100" t="str">
        <f t="shared" si="2"/>
        <v>_20250110</v>
      </c>
      <c r="B139" s="103">
        <v>45667</v>
      </c>
      <c r="C139" s="100" t="s">
        <v>768</v>
      </c>
      <c r="D139" t="s">
        <v>764</v>
      </c>
      <c r="G139" s="100" t="str">
        <f>IFERROR(VLOOKUP($C139,[5]!BOM_개발품목_1[[제품명]:[사양]],4,0),"")</f>
        <v/>
      </c>
      <c r="H139" s="100" t="str">
        <f>IFERROR(VLOOKUP($C139,[5]!BOM_개발품목_1[[제품명]:[사양]],2,0),"")</f>
        <v/>
      </c>
      <c r="I139" s="100" t="str">
        <f>IFERROR(VLOOKUP($C139,[5]!BOM_개발품목_1[[제품명]:[사양]],5,0),"")</f>
        <v/>
      </c>
      <c r="J139" s="100" t="str">
        <f>IFERROR(VLOOKUP($C139,[5]!BOM_개발품목_1[[제품명]:[사양]],7,0),"")</f>
        <v/>
      </c>
    </row>
    <row r="140" spans="1:12">
      <c r="A140" s="100" t="str">
        <f t="shared" si="2"/>
        <v>_20250110</v>
      </c>
      <c r="B140" s="103">
        <v>45667</v>
      </c>
      <c r="C140" s="100" t="s">
        <v>769</v>
      </c>
      <c r="D140" t="s">
        <v>764</v>
      </c>
      <c r="G140" s="100" t="str">
        <f>IFERROR(VLOOKUP($C140,[5]!BOM_개발품목_1[[제품명]:[사양]],4,0),"")</f>
        <v/>
      </c>
      <c r="H140" s="100" t="str">
        <f>IFERROR(VLOOKUP($C140,[5]!BOM_개발품목_1[[제품명]:[사양]],2,0),"")</f>
        <v/>
      </c>
      <c r="I140" s="100" t="str">
        <f>IFERROR(VLOOKUP($C140,[5]!BOM_개발품목_1[[제품명]:[사양]],5,0),"")</f>
        <v/>
      </c>
      <c r="J140" s="100" t="str">
        <f>IFERROR(VLOOKUP($C140,[5]!BOM_개발품목_1[[제품명]:[사양]],7,0),"")</f>
        <v/>
      </c>
    </row>
    <row r="141" spans="1:12">
      <c r="A141" s="100" t="str">
        <f t="shared" si="2"/>
        <v>_20250114</v>
      </c>
      <c r="B141" s="103">
        <v>45671</v>
      </c>
      <c r="C141" s="100" t="s">
        <v>769</v>
      </c>
      <c r="D141" t="s">
        <v>770</v>
      </c>
      <c r="F141" s="103">
        <v>45672</v>
      </c>
      <c r="G141" s="100" t="str">
        <f>IFERROR(VLOOKUP($C141,[5]!BOM_개발품목_1[[제품명]:[사양]],4,0),"")</f>
        <v/>
      </c>
      <c r="H141" s="100" t="str">
        <f>IFERROR(VLOOKUP($C141,[5]!BOM_개발품목_1[[제품명]:[사양]],2,0),"")</f>
        <v/>
      </c>
      <c r="I141" s="100" t="str">
        <f>IFERROR(VLOOKUP($C141,[5]!BOM_개발품목_1[[제품명]:[사양]],5,0),"")</f>
        <v/>
      </c>
      <c r="J141" s="100" t="str">
        <f>IFERROR(VLOOKUP($C141,[5]!BOM_개발품목_1[[제품명]:[사양]],7,0),"")</f>
        <v/>
      </c>
      <c r="K141" t="s">
        <v>771</v>
      </c>
    </row>
    <row r="142" spans="1:12">
      <c r="A142" s="100" t="str">
        <f t="shared" si="2"/>
        <v>_20250114</v>
      </c>
      <c r="B142" s="103">
        <v>45671</v>
      </c>
      <c r="C142" s="100" t="s">
        <v>772</v>
      </c>
      <c r="D142" t="s">
        <v>764</v>
      </c>
      <c r="G142" s="100" t="str">
        <f>IFERROR(VLOOKUP($C142,[5]!BOM_개발품목_1[[제품명]:[사양]],4,0),"")</f>
        <v/>
      </c>
      <c r="H142" s="100" t="str">
        <f>IFERROR(VLOOKUP($C142,[5]!BOM_개발품목_1[[제품명]:[사양]],2,0),"")</f>
        <v/>
      </c>
      <c r="I142" s="100" t="str">
        <f>IFERROR(VLOOKUP($C142,[5]!BOM_개발품목_1[[제품명]:[사양]],5,0),"")</f>
        <v/>
      </c>
      <c r="J142" s="100" t="str">
        <f>IFERROR(VLOOKUP($C142,[5]!BOM_개발품목_1[[제품명]:[사양]],7,0),"")</f>
        <v/>
      </c>
    </row>
    <row r="143" spans="1:12">
      <c r="A143" s="100" t="str">
        <f t="shared" si="2"/>
        <v>_20250115</v>
      </c>
      <c r="B143" s="103">
        <v>45672</v>
      </c>
      <c r="C143" s="100" t="s">
        <v>549</v>
      </c>
      <c r="D143" t="s">
        <v>773</v>
      </c>
      <c r="E143">
        <v>300</v>
      </c>
      <c r="F143" s="103">
        <v>45673</v>
      </c>
      <c r="G143" s="100" t="str">
        <f>IFERROR(VLOOKUP($C143,[5]!BOM_개발품목_1[[제품명]:[사양]],4,0),"")</f>
        <v/>
      </c>
      <c r="H143" s="100" t="str">
        <f>IFERROR(VLOOKUP($C143,[5]!BOM_개발품목_1[[제품명]:[사양]],2,0),"")</f>
        <v/>
      </c>
      <c r="I143" s="100" t="str">
        <f>IFERROR(VLOOKUP($C143,[5]!BOM_개발품목_1[[제품명]:[사양]],5,0),"")</f>
        <v/>
      </c>
      <c r="J143" s="100" t="str">
        <f>IFERROR(VLOOKUP($C143,[5]!BOM_개발품목_1[[제품명]:[사양]],7,0),"")</f>
        <v/>
      </c>
      <c r="K143" t="s">
        <v>774</v>
      </c>
      <c r="L143">
        <v>5</v>
      </c>
    </row>
    <row r="144" spans="1:12">
      <c r="A144" s="100" t="str">
        <f t="shared" si="2"/>
        <v>_20250116</v>
      </c>
      <c r="B144" s="103">
        <v>45673</v>
      </c>
      <c r="C144" s="100" t="s">
        <v>775</v>
      </c>
      <c r="D144" t="s">
        <v>764</v>
      </c>
      <c r="E144">
        <v>100</v>
      </c>
      <c r="F144" s="103">
        <v>45678</v>
      </c>
      <c r="G144" s="100" t="str">
        <f>IFERROR(VLOOKUP($C144,[5]!BOM_개발품목_1[[제품명]:[사양]],4,0),"")</f>
        <v/>
      </c>
      <c r="H144" s="100" t="str">
        <f>IFERROR(VLOOKUP($C144,[5]!BOM_개발품목_1[[제품명]:[사양]],2,0),"")</f>
        <v/>
      </c>
      <c r="I144" s="100" t="str">
        <f>IFERROR(VLOOKUP($C144,[5]!BOM_개발품목_1[[제품명]:[사양]],5,0),"")</f>
        <v/>
      </c>
      <c r="J144" s="100" t="str">
        <f>IFERROR(VLOOKUP($C144,[5]!BOM_개발품목_1[[제품명]:[사양]],7,0),"")</f>
        <v/>
      </c>
    </row>
    <row r="145" spans="1:13">
      <c r="A145" s="100" t="str">
        <f t="shared" si="2"/>
        <v>_20250116</v>
      </c>
      <c r="B145" s="103">
        <v>45673</v>
      </c>
      <c r="C145" s="100" t="s">
        <v>776</v>
      </c>
      <c r="D145" t="s">
        <v>764</v>
      </c>
      <c r="E145">
        <v>100</v>
      </c>
      <c r="F145" s="103">
        <v>45678</v>
      </c>
      <c r="G145" s="100" t="str">
        <f>IFERROR(VLOOKUP($C145,[5]!BOM_개발품목_1[[제품명]:[사양]],4,0),"")</f>
        <v/>
      </c>
      <c r="H145" s="100" t="str">
        <f>IFERROR(VLOOKUP($C145,[5]!BOM_개발품목_1[[제품명]:[사양]],2,0),"")</f>
        <v/>
      </c>
      <c r="I145" s="100" t="str">
        <f>IFERROR(VLOOKUP($C145,[5]!BOM_개발품목_1[[제품명]:[사양]],5,0),"")</f>
        <v/>
      </c>
      <c r="J145" s="100" t="str">
        <f>IFERROR(VLOOKUP($C145,[5]!BOM_개발품목_1[[제품명]:[사양]],7,0),"")</f>
        <v/>
      </c>
    </row>
    <row r="146" spans="1:13">
      <c r="A146" s="100" t="str">
        <f t="shared" si="2"/>
        <v>_20250116</v>
      </c>
      <c r="B146" s="103">
        <v>45673</v>
      </c>
      <c r="C146" s="100" t="s">
        <v>777</v>
      </c>
      <c r="D146" t="s">
        <v>778</v>
      </c>
      <c r="E146">
        <v>400</v>
      </c>
      <c r="F146" s="103">
        <v>45678</v>
      </c>
      <c r="G146" s="100" t="str">
        <f>IFERROR(VLOOKUP($C146,[5]!BOM_개발품목_1[[제품명]:[사양]],4,0),"")</f>
        <v/>
      </c>
      <c r="H146" s="100" t="str">
        <f>IFERROR(VLOOKUP($C146,[5]!BOM_개발품목_1[[제품명]:[사양]],2,0),"")</f>
        <v/>
      </c>
      <c r="I146" s="100" t="str">
        <f>IFERROR(VLOOKUP($C146,[5]!BOM_개발품목_1[[제품명]:[사양]],5,0),"")</f>
        <v/>
      </c>
      <c r="J146" s="100" t="str">
        <f>IFERROR(VLOOKUP($C146,[5]!BOM_개발품목_1[[제품명]:[사양]],7,0),"")</f>
        <v/>
      </c>
    </row>
    <row r="147" spans="1:13">
      <c r="A147" s="100" t="str">
        <f t="shared" si="2"/>
        <v>_20250116</v>
      </c>
      <c r="B147" s="103">
        <v>45673</v>
      </c>
      <c r="C147" s="100" t="s">
        <v>779</v>
      </c>
      <c r="D147" t="s">
        <v>780</v>
      </c>
      <c r="E147">
        <v>300</v>
      </c>
      <c r="F147" s="103">
        <v>45674</v>
      </c>
      <c r="G147" s="100" t="str">
        <f>IFERROR(VLOOKUP($C147,[5]!BOM_개발품목_1[[제품명]:[사양]],4,0),"")</f>
        <v/>
      </c>
      <c r="H147" s="100" t="str">
        <f>IFERROR(VLOOKUP($C147,[5]!BOM_개발품목_1[[제품명]:[사양]],2,0),"")</f>
        <v/>
      </c>
      <c r="I147" s="100" t="str">
        <f>IFERROR(VLOOKUP($C147,[5]!BOM_개발품목_1[[제품명]:[사양]],5,0),"")</f>
        <v/>
      </c>
      <c r="J147" s="100" t="str">
        <f>IFERROR(VLOOKUP($C147,[5]!BOM_개발품목_1[[제품명]:[사양]],7,0),"")</f>
        <v/>
      </c>
    </row>
    <row r="148" spans="1:13">
      <c r="A148" s="100" t="str">
        <f t="shared" si="2"/>
        <v>_20250116</v>
      </c>
      <c r="B148" s="103">
        <v>45673</v>
      </c>
      <c r="C148" s="100" t="s">
        <v>781</v>
      </c>
      <c r="D148" t="s">
        <v>782</v>
      </c>
      <c r="E148">
        <v>200</v>
      </c>
      <c r="F148" s="103">
        <v>45674</v>
      </c>
      <c r="G148" s="100" t="str">
        <f>IFERROR(VLOOKUP($C148,[5]!BOM_개발품목_1[[제품명]:[사양]],4,0),"")</f>
        <v/>
      </c>
      <c r="H148" s="100" t="str">
        <f>IFERROR(VLOOKUP($C148,[5]!BOM_개발품목_1[[제품명]:[사양]],2,0),"")</f>
        <v/>
      </c>
      <c r="I148" s="100" t="str">
        <f>IFERROR(VLOOKUP($C148,[5]!BOM_개발품목_1[[제품명]:[사양]],5,0),"")</f>
        <v/>
      </c>
      <c r="J148" s="100" t="str">
        <f>IFERROR(VLOOKUP($C148,[5]!BOM_개발품목_1[[제품명]:[사양]],7,0),"")</f>
        <v/>
      </c>
    </row>
    <row r="149" spans="1:13">
      <c r="A149" s="100" t="str">
        <f t="shared" si="2"/>
        <v>_20250116</v>
      </c>
      <c r="B149" s="103">
        <v>45673</v>
      </c>
      <c r="C149" s="100" t="s">
        <v>783</v>
      </c>
      <c r="D149" t="s">
        <v>764</v>
      </c>
      <c r="E149">
        <v>100</v>
      </c>
      <c r="F149" s="103">
        <v>45677</v>
      </c>
      <c r="G149" s="100" t="str">
        <f>IFERROR(VLOOKUP($C149,[5]!BOM_개발품목_1[[제품명]:[사양]],4,0),"")</f>
        <v/>
      </c>
      <c r="H149" s="100" t="str">
        <f>IFERROR(VLOOKUP($C149,[5]!BOM_개발품목_1[[제품명]:[사양]],2,0),"")</f>
        <v/>
      </c>
      <c r="I149" s="100" t="str">
        <f>IFERROR(VLOOKUP($C149,[5]!BOM_개발품목_1[[제품명]:[사양]],5,0),"")</f>
        <v/>
      </c>
      <c r="J149" s="100" t="str">
        <f>IFERROR(VLOOKUP($C149,[5]!BOM_개발품목_1[[제품명]:[사양]],7,0),"")</f>
        <v/>
      </c>
    </row>
    <row r="150" spans="1:13">
      <c r="A150" s="100" t="str">
        <f t="shared" si="2"/>
        <v>_20250116</v>
      </c>
      <c r="B150" s="103">
        <v>45673</v>
      </c>
      <c r="C150" s="100" t="s">
        <v>784</v>
      </c>
      <c r="D150" t="s">
        <v>764</v>
      </c>
      <c r="E150">
        <v>100</v>
      </c>
      <c r="F150" s="103">
        <v>45677</v>
      </c>
      <c r="G150" s="100" t="str">
        <f>IFERROR(VLOOKUP($C150,[5]!BOM_개발품목_1[[제품명]:[사양]],4,0),"")</f>
        <v/>
      </c>
      <c r="H150" s="100" t="str">
        <f>IFERROR(VLOOKUP($C150,[5]!BOM_개발품목_1[[제품명]:[사양]],2,0),"")</f>
        <v/>
      </c>
      <c r="I150" s="100" t="str">
        <f>IFERROR(VLOOKUP($C150,[5]!BOM_개발품목_1[[제품명]:[사양]],5,0),"")</f>
        <v/>
      </c>
      <c r="J150" s="100" t="str">
        <f>IFERROR(VLOOKUP($C150,[5]!BOM_개발품목_1[[제품명]:[사양]],7,0),"")</f>
        <v/>
      </c>
    </row>
    <row r="151" spans="1:13">
      <c r="A151" s="100" t="str">
        <f t="shared" si="2"/>
        <v>_20250116</v>
      </c>
      <c r="B151" s="103">
        <v>45673</v>
      </c>
      <c r="C151" s="100" t="s">
        <v>592</v>
      </c>
      <c r="D151" t="s">
        <v>633</v>
      </c>
      <c r="E151">
        <v>200</v>
      </c>
      <c r="F151" s="103"/>
      <c r="G151" s="100" t="str">
        <f>IFERROR(VLOOKUP($C151,[5]!BOM_개발품목_1[[제품명]:[사양]],4,0),"")</f>
        <v/>
      </c>
      <c r="H151" s="100" t="str">
        <f>IFERROR(VLOOKUP($C151,[5]!BOM_개발품목_1[[제품명]:[사양]],2,0),"")</f>
        <v/>
      </c>
      <c r="I151" s="100" t="str">
        <f>IFERROR(VLOOKUP($C151,[5]!BOM_개발품목_1[[제품명]:[사양]],5,0),"")</f>
        <v/>
      </c>
      <c r="J151" s="100" t="str">
        <f>IFERROR(VLOOKUP($C151,[5]!BOM_개발품목_1[[제품명]:[사양]],7,0),"")</f>
        <v/>
      </c>
    </row>
    <row r="152" spans="1:13">
      <c r="A152" s="100" t="str">
        <f t="shared" si="2"/>
        <v>_20250120</v>
      </c>
      <c r="B152" s="103">
        <v>45677</v>
      </c>
      <c r="C152" s="100" t="s">
        <v>594</v>
      </c>
      <c r="D152" t="s">
        <v>785</v>
      </c>
      <c r="E152">
        <v>200</v>
      </c>
      <c r="F152" s="103"/>
      <c r="G152" s="100" t="str">
        <f>IFERROR(VLOOKUP($C152,[5]!BOM_개발품목_1[[제품명]:[사양]],4,0),"")</f>
        <v/>
      </c>
      <c r="H152" s="100" t="str">
        <f>IFERROR(VLOOKUP($C152,[5]!BOM_개발품목_1[[제품명]:[사양]],2,0),"")</f>
        <v/>
      </c>
      <c r="I152" s="100" t="str">
        <f>IFERROR(VLOOKUP($C152,[5]!BOM_개발품목_1[[제품명]:[사양]],5,0),"")</f>
        <v/>
      </c>
      <c r="J152" s="100" t="str">
        <f>IFERROR(VLOOKUP($C152,[5]!BOM_개발품목_1[[제품명]:[사양]],7,0),"")</f>
        <v/>
      </c>
    </row>
    <row r="153" spans="1:13">
      <c r="A153" s="100" t="str">
        <f t="shared" si="2"/>
        <v>_20250120</v>
      </c>
      <c r="B153" s="103">
        <v>45677</v>
      </c>
      <c r="C153" s="100" t="s">
        <v>597</v>
      </c>
      <c r="D153" t="s">
        <v>785</v>
      </c>
      <c r="E153">
        <v>100</v>
      </c>
      <c r="F153" s="103"/>
      <c r="G153" s="100" t="str">
        <f>IFERROR(VLOOKUP($C153,[5]!BOM_개발품목_1[[제품명]:[사양]],4,0),"")</f>
        <v/>
      </c>
      <c r="H153" s="100" t="str">
        <f>IFERROR(VLOOKUP($C153,[5]!BOM_개발품목_1[[제품명]:[사양]],2,0),"")</f>
        <v/>
      </c>
      <c r="I153" s="100" t="str">
        <f>IFERROR(VLOOKUP($C153,[5]!BOM_개발품목_1[[제품명]:[사양]],5,0),"")</f>
        <v/>
      </c>
      <c r="J153" s="100" t="str">
        <f>IFERROR(VLOOKUP($C153,[5]!BOM_개발품목_1[[제품명]:[사양]],7,0),"")</f>
        <v/>
      </c>
    </row>
    <row r="154" spans="1:13">
      <c r="A154" s="100" t="str">
        <f t="shared" si="2"/>
        <v>_20250204</v>
      </c>
      <c r="B154" s="103">
        <v>45692</v>
      </c>
      <c r="C154" s="100" t="s">
        <v>549</v>
      </c>
      <c r="D154" t="s">
        <v>786</v>
      </c>
      <c r="E154">
        <v>300</v>
      </c>
      <c r="F154" s="103"/>
      <c r="G154" s="100" t="str">
        <f>IFERROR(VLOOKUP($C154,[5]!BOM_개발품목_1[[제품명]:[사양]],4,0),"")</f>
        <v/>
      </c>
      <c r="H154" s="100" t="str">
        <f>IFERROR(VLOOKUP($C154,[5]!BOM_개발품목_1[[제품명]:[사양]],2,0),"")</f>
        <v/>
      </c>
      <c r="I154" s="100" t="str">
        <f>IFERROR(VLOOKUP($C154,[5]!BOM_개발품목_1[[제품명]:[사양]],5,0),"")</f>
        <v/>
      </c>
      <c r="J154" s="100" t="str">
        <f>IFERROR(VLOOKUP($C154,[5]!BOM_개발품목_1[[제품명]:[사양]],7,0),"")</f>
        <v/>
      </c>
      <c r="K154" t="s">
        <v>759</v>
      </c>
    </row>
    <row r="155" spans="1:13" ht="82.5">
      <c r="A155" s="100" t="str">
        <f t="shared" si="2"/>
        <v>_20250204</v>
      </c>
      <c r="B155" s="103">
        <v>45692</v>
      </c>
      <c r="C155" s="100" t="s">
        <v>541</v>
      </c>
      <c r="D155" s="105" t="s">
        <v>787</v>
      </c>
      <c r="E155">
        <v>300</v>
      </c>
      <c r="F155" s="103">
        <v>45694</v>
      </c>
      <c r="G155" s="100" t="str">
        <f>IFERROR(VLOOKUP($C155,[5]!BOM_개발품목_1[[제품명]:[사양]],4,0),"")</f>
        <v/>
      </c>
      <c r="H155" s="100" t="str">
        <f>IFERROR(VLOOKUP($C155,[5]!BOM_개발품목_1[[제품명]:[사양]],2,0),"")</f>
        <v/>
      </c>
      <c r="I155" s="100" t="str">
        <f>IFERROR(VLOOKUP($C155,[5]!BOM_개발품목_1[[제품명]:[사양]],5,0),"")</f>
        <v/>
      </c>
      <c r="J155" s="100" t="str">
        <f>IFERROR(VLOOKUP($C155,[5]!BOM_개발품목_1[[제품명]:[사양]],7,0),"")</f>
        <v/>
      </c>
    </row>
    <row r="156" spans="1:13" ht="82.5">
      <c r="A156" s="100" t="str">
        <f t="shared" si="2"/>
        <v>_20250204</v>
      </c>
      <c r="B156" s="103">
        <v>45692</v>
      </c>
      <c r="C156" s="100" t="s">
        <v>548</v>
      </c>
      <c r="D156" s="105" t="s">
        <v>787</v>
      </c>
      <c r="E156">
        <v>400</v>
      </c>
      <c r="F156" s="103">
        <v>45694</v>
      </c>
      <c r="G156" s="100" t="str">
        <f>IFERROR(VLOOKUP($C156,[5]!BOM_개발품목_1[[제품명]:[사양]],4,0),"")</f>
        <v/>
      </c>
      <c r="H156" s="100" t="str">
        <f>IFERROR(VLOOKUP($C156,[5]!BOM_개발품목_1[[제품명]:[사양]],2,0),"")</f>
        <v/>
      </c>
      <c r="I156" s="100" t="str">
        <f>IFERROR(VLOOKUP($C156,[5]!BOM_개발품목_1[[제품명]:[사양]],5,0),"")</f>
        <v/>
      </c>
      <c r="J156" s="100" t="str">
        <f>IFERROR(VLOOKUP($C156,[5]!BOM_개발품목_1[[제품명]:[사양]],7,0),"")</f>
        <v/>
      </c>
      <c r="M156" t="s">
        <v>788</v>
      </c>
    </row>
    <row r="157" spans="1:13" ht="82.5">
      <c r="A157" s="100" t="str">
        <f t="shared" si="2"/>
        <v>_20250204</v>
      </c>
      <c r="B157" s="103">
        <v>45692</v>
      </c>
      <c r="C157" s="100" t="s">
        <v>544</v>
      </c>
      <c r="D157" s="105" t="s">
        <v>787</v>
      </c>
      <c r="E157">
        <v>400</v>
      </c>
      <c r="F157" s="103">
        <v>45694</v>
      </c>
      <c r="G157" s="100" t="str">
        <f>IFERROR(VLOOKUP($C157,[5]!BOM_개발품목_1[[제품명]:[사양]],4,0),"")</f>
        <v/>
      </c>
      <c r="H157" s="100" t="str">
        <f>IFERROR(VLOOKUP($C157,[5]!BOM_개발품목_1[[제품명]:[사양]],2,0),"")</f>
        <v/>
      </c>
      <c r="I157" s="100" t="str">
        <f>IFERROR(VLOOKUP($C157,[5]!BOM_개발품목_1[[제품명]:[사양]],5,0),"")</f>
        <v/>
      </c>
      <c r="J157" s="100" t="str">
        <f>IFERROR(VLOOKUP($C157,[5]!BOM_개발품목_1[[제품명]:[사양]],7,0),"")</f>
        <v/>
      </c>
    </row>
    <row r="158" spans="1:13">
      <c r="A158" s="100" t="str">
        <f t="shared" si="2"/>
        <v>_20250204</v>
      </c>
      <c r="B158" s="103">
        <v>45692</v>
      </c>
      <c r="C158" s="100" t="s">
        <v>592</v>
      </c>
      <c r="D158" t="s">
        <v>789</v>
      </c>
      <c r="F158" s="103">
        <v>45693</v>
      </c>
      <c r="G158" s="100" t="str">
        <f>IFERROR(VLOOKUP($C158,[5]!BOM_개발품목_1[[제품명]:[사양]],4,0),"")</f>
        <v/>
      </c>
      <c r="H158" s="100" t="str">
        <f>IFERROR(VLOOKUP($C158,[5]!BOM_개발품목_1[[제품명]:[사양]],2,0),"")</f>
        <v/>
      </c>
      <c r="I158" s="100" t="str">
        <f>IFERROR(VLOOKUP($C158,[5]!BOM_개발품목_1[[제품명]:[사양]],5,0),"")</f>
        <v/>
      </c>
      <c r="J158" s="100" t="str">
        <f>IFERROR(VLOOKUP($C158,[5]!BOM_개발품목_1[[제품명]:[사양]],7,0),"")</f>
        <v/>
      </c>
      <c r="M158" t="s">
        <v>790</v>
      </c>
    </row>
    <row r="159" spans="1:13">
      <c r="A159" s="100" t="str">
        <f t="shared" si="2"/>
        <v>_20250204</v>
      </c>
      <c r="B159" s="103">
        <v>45692</v>
      </c>
      <c r="C159" s="100" t="s">
        <v>596</v>
      </c>
      <c r="D159" t="s">
        <v>785</v>
      </c>
      <c r="F159" s="103">
        <v>45693</v>
      </c>
      <c r="G159" s="100" t="str">
        <f>IFERROR(VLOOKUP($C159,[5]!BOM_개발품목_1[[제품명]:[사양]],4,0),"")</f>
        <v/>
      </c>
      <c r="H159" s="100" t="str">
        <f>IFERROR(VLOOKUP($C159,[5]!BOM_개발품목_1[[제품명]:[사양]],2,0),"")</f>
        <v/>
      </c>
      <c r="I159" s="100" t="str">
        <f>IFERROR(VLOOKUP($C159,[5]!BOM_개발품목_1[[제품명]:[사양]],5,0),"")</f>
        <v/>
      </c>
      <c r="J159" s="100" t="str">
        <f>IFERROR(VLOOKUP($C159,[5]!BOM_개발품목_1[[제품명]:[사양]],7,0),"")</f>
        <v/>
      </c>
      <c r="M159" t="s">
        <v>790</v>
      </c>
    </row>
    <row r="160" spans="1:13">
      <c r="A160" s="100" t="str">
        <f t="shared" si="2"/>
        <v>_20250204</v>
      </c>
      <c r="B160" s="103">
        <v>45692</v>
      </c>
      <c r="C160" s="100" t="s">
        <v>769</v>
      </c>
      <c r="D160" t="s">
        <v>791</v>
      </c>
      <c r="E160">
        <v>100</v>
      </c>
      <c r="F160" s="103"/>
      <c r="G160" s="100" t="str">
        <f>IFERROR(VLOOKUP($C160,[5]!BOM_개발품목_1[[제품명]:[사양]],4,0),"")</f>
        <v/>
      </c>
      <c r="H160" s="100" t="str">
        <f>IFERROR(VLOOKUP($C160,[5]!BOM_개발품목_1[[제품명]:[사양]],2,0),"")</f>
        <v/>
      </c>
      <c r="I160" s="100" t="str">
        <f>IFERROR(VLOOKUP($C160,[5]!BOM_개발품목_1[[제품명]:[사양]],5,0),"")</f>
        <v/>
      </c>
      <c r="J160" s="100" t="str">
        <f>IFERROR(VLOOKUP($C160,[5]!BOM_개발품목_1[[제품명]:[사양]],7,0),"")</f>
        <v/>
      </c>
      <c r="M160" t="s">
        <v>792</v>
      </c>
    </row>
    <row r="161" spans="1:13">
      <c r="A161" s="100" t="str">
        <f t="shared" si="2"/>
        <v>_20250204</v>
      </c>
      <c r="B161" s="103">
        <v>45692</v>
      </c>
      <c r="C161" s="100" t="s">
        <v>793</v>
      </c>
      <c r="D161" t="s">
        <v>794</v>
      </c>
      <c r="E161">
        <v>100</v>
      </c>
      <c r="F161" s="103"/>
      <c r="G161" s="100" t="str">
        <f>IFERROR(VLOOKUP($C161,[5]!BOM_개발품목_1[[제품명]:[사양]],4,0),"")</f>
        <v/>
      </c>
      <c r="H161" s="100" t="str">
        <f>IFERROR(VLOOKUP($C161,[5]!BOM_개발품목_1[[제품명]:[사양]],2,0),"")</f>
        <v/>
      </c>
      <c r="I161" s="100" t="str">
        <f>IFERROR(VLOOKUP($C161,[5]!BOM_개발품목_1[[제품명]:[사양]],5,0),"")</f>
        <v/>
      </c>
      <c r="J161" s="100" t="str">
        <f>IFERROR(VLOOKUP($C161,[5]!BOM_개발품목_1[[제품명]:[사양]],7,0),"")</f>
        <v/>
      </c>
      <c r="M161" t="s">
        <v>795</v>
      </c>
    </row>
    <row r="162" spans="1:13">
      <c r="A162" s="100" t="str">
        <f t="shared" si="2"/>
        <v>_20250204</v>
      </c>
      <c r="B162" s="103">
        <v>45692</v>
      </c>
      <c r="C162" s="100" t="s">
        <v>776</v>
      </c>
      <c r="D162" t="s">
        <v>764</v>
      </c>
      <c r="E162">
        <v>100</v>
      </c>
      <c r="F162" s="103"/>
      <c r="G162" s="100" t="str">
        <f>IFERROR(VLOOKUP($C162,[5]!BOM_개발품목_1[[제품명]:[사양]],4,0),"")</f>
        <v/>
      </c>
      <c r="H162" s="100" t="str">
        <f>IFERROR(VLOOKUP($C162,[5]!BOM_개발품목_1[[제품명]:[사양]],2,0),"")</f>
        <v/>
      </c>
      <c r="I162" s="100" t="str">
        <f>IFERROR(VLOOKUP($C162,[5]!BOM_개발품목_1[[제품명]:[사양]],5,0),"")</f>
        <v/>
      </c>
      <c r="J162" s="100" t="str">
        <f>IFERROR(VLOOKUP($C162,[5]!BOM_개발품목_1[[제품명]:[사양]],7,0),"")</f>
        <v/>
      </c>
      <c r="M162" t="s">
        <v>796</v>
      </c>
    </row>
    <row r="163" spans="1:13">
      <c r="A163" s="100" t="str">
        <f t="shared" si="2"/>
        <v>_20250204</v>
      </c>
      <c r="B163" s="103">
        <v>45692</v>
      </c>
      <c r="C163" s="100" t="s">
        <v>777</v>
      </c>
      <c r="D163" t="s">
        <v>794</v>
      </c>
      <c r="E163">
        <v>400</v>
      </c>
      <c r="F163" s="103"/>
      <c r="G163" s="100" t="str">
        <f>IFERROR(VLOOKUP($C163,[5]!BOM_개발품목_1[[제품명]:[사양]],4,0),"")</f>
        <v/>
      </c>
      <c r="H163" s="100" t="str">
        <f>IFERROR(VLOOKUP($C163,[5]!BOM_개발품목_1[[제품명]:[사양]],2,0),"")</f>
        <v/>
      </c>
      <c r="I163" s="100" t="str">
        <f>IFERROR(VLOOKUP($C163,[5]!BOM_개발품목_1[[제품명]:[사양]],5,0),"")</f>
        <v/>
      </c>
      <c r="J163" s="100" t="str">
        <f>IFERROR(VLOOKUP($C163,[5]!BOM_개발품목_1[[제품명]:[사양]],7,0),"")</f>
        <v/>
      </c>
      <c r="M163" t="s">
        <v>797</v>
      </c>
    </row>
    <row r="164" spans="1:13">
      <c r="A164" s="100" t="str">
        <f t="shared" si="2"/>
        <v>_20250205</v>
      </c>
      <c r="B164" s="103">
        <v>45693</v>
      </c>
      <c r="C164" s="100" t="s">
        <v>750</v>
      </c>
      <c r="D164" t="s">
        <v>798</v>
      </c>
      <c r="E164">
        <v>150</v>
      </c>
      <c r="F164" s="99"/>
      <c r="G164" s="100" t="str">
        <f>IFERROR(VLOOKUP($C164,[5]!BOM_개발품목_1[[제품명]:[사양]],4,0),"")</f>
        <v/>
      </c>
      <c r="H164" s="100" t="str">
        <f>IFERROR(VLOOKUP($C164,[5]!BOM_개발품목_1[[제품명]:[사양]],2,0),"")</f>
        <v/>
      </c>
      <c r="I164" s="100" t="str">
        <f>IFERROR(VLOOKUP($C164,[5]!BOM_개발품목_1[[제품명]:[사양]],5,0),"")</f>
        <v/>
      </c>
      <c r="J164" s="100" t="str">
        <f>IFERROR(VLOOKUP($C164,[5]!BOM_개발품목_1[[제품명]:[사양]],7,0),"")</f>
        <v/>
      </c>
      <c r="K164" t="s">
        <v>565</v>
      </c>
    </row>
    <row r="165" spans="1:13">
      <c r="A165" s="100" t="str">
        <f t="shared" si="2"/>
        <v>_20250212</v>
      </c>
      <c r="B165" s="103">
        <v>45700</v>
      </c>
      <c r="C165" s="100" t="s">
        <v>767</v>
      </c>
      <c r="D165" t="s">
        <v>799</v>
      </c>
      <c r="E165">
        <v>100</v>
      </c>
      <c r="G165" s="100" t="str">
        <f>IFERROR(VLOOKUP($C165,[5]!BOM_개발품목_1[[제품명]:[사양]],4,0),"")</f>
        <v/>
      </c>
      <c r="H165" s="100" t="str">
        <f>IFERROR(VLOOKUP($C165,[5]!BOM_개발품목_1[[제품명]:[사양]],2,0),"")</f>
        <v/>
      </c>
      <c r="I165" s="100" t="str">
        <f>IFERROR(VLOOKUP($C165,[5]!BOM_개발품목_1[[제품명]:[사양]],5,0),"")</f>
        <v/>
      </c>
      <c r="J165" s="100" t="str">
        <f>IFERROR(VLOOKUP($C165,[5]!BOM_개발품목_1[[제품명]:[사양]],7,0),"")</f>
        <v/>
      </c>
      <c r="M165" t="s">
        <v>800</v>
      </c>
    </row>
    <row r="166" spans="1:13">
      <c r="A166" s="100" t="str">
        <f t="shared" si="2"/>
        <v>_20250218</v>
      </c>
      <c r="B166" s="103">
        <v>45706</v>
      </c>
      <c r="C166" s="100" t="s">
        <v>801</v>
      </c>
      <c r="D166" t="s">
        <v>802</v>
      </c>
      <c r="E166">
        <v>50</v>
      </c>
      <c r="G166" s="100" t="str">
        <f>IFERROR(VLOOKUP($C166,[5]!BOM_개발품목_1[[제품명]:[사양]],4,0),"")</f>
        <v/>
      </c>
      <c r="H166" s="100" t="str">
        <f>IFERROR(VLOOKUP($C166,[5]!BOM_개발품목_1[[제품명]:[사양]],2,0),"")</f>
        <v/>
      </c>
      <c r="I166" s="100" t="str">
        <f>IFERROR(VLOOKUP($C166,[5]!BOM_개발품목_1[[제품명]:[사양]],5,0),"")</f>
        <v/>
      </c>
      <c r="J166" s="100" t="str">
        <f>IFERROR(VLOOKUP($C166,[5]!BOM_개발품목_1[[제품명]:[사양]],7,0),"")</f>
        <v/>
      </c>
    </row>
    <row r="167" spans="1:13">
      <c r="A167" s="100" t="str">
        <f t="shared" si="2"/>
        <v>_20250219</v>
      </c>
      <c r="B167" s="103">
        <v>45707</v>
      </c>
      <c r="C167" s="116" t="s">
        <v>803</v>
      </c>
      <c r="F167" s="99"/>
      <c r="G167" s="100" t="str">
        <f>IFERROR(VLOOKUP($C167,[5]!BOM_개발품목_1[[제품명]:[사양]],4,0),"")</f>
        <v/>
      </c>
      <c r="H167" s="100" t="str">
        <f>IFERROR(VLOOKUP($C167,[5]!BOM_개발품목_1[[제품명]:[사양]],2,0),"")</f>
        <v/>
      </c>
      <c r="I167" s="100" t="str">
        <f>IFERROR(VLOOKUP($C167,[5]!BOM_개발품목_1[[제품명]:[사양]],5,0),"")</f>
        <v/>
      </c>
      <c r="J167" s="100" t="str">
        <f>IFERROR(VLOOKUP($C167,[5]!BOM_개발품목_1[[제품명]:[사양]],7,0),"")</f>
        <v/>
      </c>
    </row>
    <row r="168" spans="1:13">
      <c r="A168" s="100" t="str">
        <f t="shared" si="2"/>
        <v>_20250220</v>
      </c>
      <c r="B168" s="103">
        <v>45708</v>
      </c>
      <c r="C168" s="100" t="s">
        <v>779</v>
      </c>
      <c r="D168" t="s">
        <v>780</v>
      </c>
      <c r="E168">
        <v>300</v>
      </c>
      <c r="F168" s="101">
        <v>45713</v>
      </c>
      <c r="G168" s="100" t="str">
        <f>IFERROR(VLOOKUP($C168,[5]!BOM_개발품목_1[[제품명]:[사양]],4,0),"")</f>
        <v/>
      </c>
      <c r="H168" s="100" t="str">
        <f>IFERROR(VLOOKUP($C168,[5]!BOM_개발품목_1[[제품명]:[사양]],2,0),"")</f>
        <v/>
      </c>
      <c r="I168" s="100" t="str">
        <f>IFERROR(VLOOKUP($C168,[5]!BOM_개발품목_1[[제품명]:[사양]],5,0),"")</f>
        <v/>
      </c>
      <c r="J168" s="100" t="str">
        <f>IFERROR(VLOOKUP($C168,[5]!BOM_개발품목_1[[제품명]:[사양]],7,0),"")</f>
        <v/>
      </c>
      <c r="M168" t="s">
        <v>804</v>
      </c>
    </row>
    <row r="169" spans="1:13">
      <c r="A169" s="100" t="str">
        <f t="shared" si="2"/>
        <v>_20250220</v>
      </c>
      <c r="B169" s="103">
        <v>45708</v>
      </c>
      <c r="C169" s="100" t="s">
        <v>781</v>
      </c>
      <c r="D169" t="s">
        <v>782</v>
      </c>
      <c r="E169">
        <v>200</v>
      </c>
      <c r="F169" s="101">
        <v>45713</v>
      </c>
      <c r="G169" s="100" t="str">
        <f>IFERROR(VLOOKUP($C169,[5]!BOM_개발품목_1[[제품명]:[사양]],4,0),"")</f>
        <v/>
      </c>
      <c r="H169" s="100" t="str">
        <f>IFERROR(VLOOKUP($C169,[5]!BOM_개발품목_1[[제품명]:[사양]],2,0),"")</f>
        <v/>
      </c>
      <c r="I169" s="100" t="str">
        <f>IFERROR(VLOOKUP($C169,[5]!BOM_개발품목_1[[제품명]:[사양]],5,0),"")</f>
        <v/>
      </c>
      <c r="J169" s="100" t="str">
        <f>IFERROR(VLOOKUP($C169,[5]!BOM_개발품목_1[[제품명]:[사양]],7,0),"")</f>
        <v/>
      </c>
    </row>
    <row r="170" spans="1:13">
      <c r="A170" s="100" t="str">
        <f t="shared" si="2"/>
        <v>_20250220</v>
      </c>
      <c r="B170" s="103">
        <v>45708</v>
      </c>
      <c r="C170" s="100" t="s">
        <v>783</v>
      </c>
      <c r="D170" t="s">
        <v>764</v>
      </c>
      <c r="E170">
        <v>100</v>
      </c>
      <c r="F170" s="101">
        <v>45713</v>
      </c>
      <c r="G170" s="100" t="str">
        <f>IFERROR(VLOOKUP($C170,[5]!BOM_개발품목_1[[제품명]:[사양]],4,0),"")</f>
        <v/>
      </c>
      <c r="H170" s="100" t="str">
        <f>IFERROR(VLOOKUP($C170,[5]!BOM_개발품목_1[[제품명]:[사양]],2,0),"")</f>
        <v/>
      </c>
      <c r="I170" s="100" t="str">
        <f>IFERROR(VLOOKUP($C170,[5]!BOM_개발품목_1[[제품명]:[사양]],5,0),"")</f>
        <v/>
      </c>
      <c r="J170" s="100" t="str">
        <f>IFERROR(VLOOKUP($C170,[5]!BOM_개발품목_1[[제품명]:[사양]],7,0),"")</f>
        <v/>
      </c>
    </row>
    <row r="171" spans="1:13">
      <c r="A171" s="100" t="str">
        <f t="shared" si="2"/>
        <v>_20250220</v>
      </c>
      <c r="B171" s="103">
        <v>45708</v>
      </c>
      <c r="C171" s="100" t="s">
        <v>784</v>
      </c>
      <c r="D171" t="s">
        <v>764</v>
      </c>
      <c r="E171">
        <v>100</v>
      </c>
      <c r="F171" s="101">
        <v>45713</v>
      </c>
      <c r="G171" s="100" t="str">
        <f>IFERROR(VLOOKUP($C171,[5]!BOM_개발품목_1[[제품명]:[사양]],4,0),"")</f>
        <v/>
      </c>
      <c r="H171" s="100" t="str">
        <f>IFERROR(VLOOKUP($C171,[5]!BOM_개발품목_1[[제품명]:[사양]],2,0),"")</f>
        <v/>
      </c>
      <c r="I171" s="100" t="str">
        <f>IFERROR(VLOOKUP($C171,[5]!BOM_개발품목_1[[제품명]:[사양]],5,0),"")</f>
        <v/>
      </c>
      <c r="J171" s="100" t="str">
        <f>IFERROR(VLOOKUP($C171,[5]!BOM_개발품목_1[[제품명]:[사양]],7,0),"")</f>
        <v/>
      </c>
    </row>
    <row r="172" spans="1:13" ht="82.5">
      <c r="A172" s="100" t="str">
        <f t="shared" si="2"/>
        <v>_20250220</v>
      </c>
      <c r="B172" s="103">
        <v>45708</v>
      </c>
      <c r="C172" s="100" t="s">
        <v>544</v>
      </c>
      <c r="D172" s="105" t="s">
        <v>787</v>
      </c>
      <c r="E172">
        <v>400</v>
      </c>
      <c r="F172" s="101">
        <v>45713</v>
      </c>
      <c r="G172" s="100" t="str">
        <f>IFERROR(VLOOKUP($C172,[5]!BOM_개발품목_1[[제품명]:[사양]],4,0),"")</f>
        <v/>
      </c>
      <c r="H172" s="100" t="str">
        <f>IFERROR(VLOOKUP($C172,[5]!BOM_개발품목_1[[제품명]:[사양]],2,0),"")</f>
        <v/>
      </c>
      <c r="I172" s="100" t="str">
        <f>IFERROR(VLOOKUP($C172,[5]!BOM_개발품목_1[[제품명]:[사양]],5,0),"")</f>
        <v/>
      </c>
      <c r="J172" s="100" t="str">
        <f>IFERROR(VLOOKUP($C172,[5]!BOM_개발품목_1[[제품명]:[사양]],7,0),"")</f>
        <v/>
      </c>
    </row>
    <row r="173" spans="1:13">
      <c r="A173" s="100" t="str">
        <f t="shared" si="2"/>
        <v>_20250220</v>
      </c>
      <c r="B173" s="103">
        <v>45708</v>
      </c>
      <c r="C173" s="100" t="s">
        <v>549</v>
      </c>
      <c r="D173" t="s">
        <v>805</v>
      </c>
      <c r="E173">
        <v>100</v>
      </c>
      <c r="F173" s="101">
        <v>45709</v>
      </c>
      <c r="G173" s="100" t="str">
        <f>IFERROR(VLOOKUP($C173,[5]!BOM_개발품목_1[[제품명]:[사양]],4,0),"")</f>
        <v/>
      </c>
      <c r="H173" s="100" t="str">
        <f>IFERROR(VLOOKUP($C173,[5]!BOM_개발품목_1[[제품명]:[사양]],2,0),"")</f>
        <v/>
      </c>
      <c r="I173" s="100" t="str">
        <f>IFERROR(VLOOKUP($C173,[5]!BOM_개발품목_1[[제품명]:[사양]],5,0),"")</f>
        <v/>
      </c>
      <c r="J173" s="100" t="str">
        <f>IFERROR(VLOOKUP($C173,[5]!BOM_개발품목_1[[제품명]:[사양]],7,0),"")</f>
        <v/>
      </c>
      <c r="M173" t="s">
        <v>806</v>
      </c>
    </row>
    <row r="174" spans="1:13">
      <c r="A174" s="100" t="str">
        <f t="shared" si="2"/>
        <v>_20250220</v>
      </c>
      <c r="B174" s="103">
        <v>45708</v>
      </c>
      <c r="C174" s="100" t="s">
        <v>807</v>
      </c>
      <c r="E174">
        <v>100</v>
      </c>
      <c r="F174" s="101">
        <v>45722</v>
      </c>
      <c r="G174" s="100" t="str">
        <f>IFERROR(VLOOKUP($C174,[5]!BOM_개발품목_1[[제품명]:[사양]],4,0),"")</f>
        <v/>
      </c>
      <c r="H174" s="100" t="str">
        <f>IFERROR(VLOOKUP($C174,[5]!BOM_개발품목_1[[제품명]:[사양]],2,0),"")</f>
        <v/>
      </c>
      <c r="I174" s="100" t="str">
        <f>IFERROR(VLOOKUP($C174,[5]!BOM_개발품목_1[[제품명]:[사양]],5,0),"")</f>
        <v/>
      </c>
      <c r="J174" s="100" t="str">
        <f>IFERROR(VLOOKUP($C174,[5]!BOM_개발품목_1[[제품명]:[사양]],7,0),"")</f>
        <v/>
      </c>
    </row>
    <row r="175" spans="1:13">
      <c r="A175" s="100" t="str">
        <f t="shared" si="2"/>
        <v>_20250220</v>
      </c>
      <c r="B175" s="103">
        <v>45708</v>
      </c>
      <c r="C175" s="100" t="s">
        <v>776</v>
      </c>
      <c r="E175">
        <v>100</v>
      </c>
      <c r="F175" s="101">
        <v>45713</v>
      </c>
      <c r="G175" s="100" t="str">
        <f>IFERROR(VLOOKUP($C175,[5]!BOM_개발품목_1[[제품명]:[사양]],4,0),"")</f>
        <v/>
      </c>
      <c r="H175" s="100" t="str">
        <f>IFERROR(VLOOKUP($C175,[5]!BOM_개발품목_1[[제품명]:[사양]],2,0),"")</f>
        <v/>
      </c>
      <c r="I175" s="100" t="str">
        <f>IFERROR(VLOOKUP($C175,[5]!BOM_개발품목_1[[제품명]:[사양]],5,0),"")</f>
        <v/>
      </c>
      <c r="J175" s="100" t="str">
        <f>IFERROR(VLOOKUP($C175,[5]!BOM_개발품목_1[[제품명]:[사양]],7,0),"")</f>
        <v/>
      </c>
      <c r="M175" t="s">
        <v>808</v>
      </c>
    </row>
    <row r="176" spans="1:13">
      <c r="A176" s="100" t="str">
        <f t="shared" si="2"/>
        <v>_20250224</v>
      </c>
      <c r="B176" s="103">
        <v>45712</v>
      </c>
      <c r="C176" s="100" t="s">
        <v>769</v>
      </c>
      <c r="D176" t="s">
        <v>809</v>
      </c>
      <c r="E176">
        <v>100</v>
      </c>
      <c r="F176" s="101">
        <v>45715</v>
      </c>
      <c r="G176" s="100" t="str">
        <f>IFERROR(VLOOKUP($C176,[5]!BOM_개발품목_1[[제품명]:[사양]],4,0),"")</f>
        <v/>
      </c>
      <c r="H176" s="100" t="str">
        <f>IFERROR(VLOOKUP($C176,[5]!BOM_개발품목_1[[제품명]:[사양]],2,0),"")</f>
        <v/>
      </c>
      <c r="I176" s="100" t="str">
        <f>IFERROR(VLOOKUP($C176,[5]!BOM_개발품목_1[[제품명]:[사양]],5,0),"")</f>
        <v/>
      </c>
      <c r="J176" s="100" t="str">
        <f>IFERROR(VLOOKUP($C176,[5]!BOM_개발품목_1[[제품명]:[사양]],7,0),"")</f>
        <v/>
      </c>
    </row>
    <row r="177" spans="1:11">
      <c r="A177" s="100" t="str">
        <f t="shared" si="2"/>
        <v>_20250224</v>
      </c>
      <c r="B177" s="103">
        <v>45712</v>
      </c>
      <c r="C177" s="100" t="s">
        <v>810</v>
      </c>
      <c r="D177" t="s">
        <v>811</v>
      </c>
      <c r="E177">
        <v>100</v>
      </c>
      <c r="F177" s="101">
        <v>45715</v>
      </c>
      <c r="G177" s="100" t="str">
        <f>IFERROR(VLOOKUP($C177,[5]!BOM_개발품목_1[[제품명]:[사양]],4,0),"")</f>
        <v/>
      </c>
      <c r="H177" s="100" t="str">
        <f>IFERROR(VLOOKUP($C177,[5]!BOM_개발품목_1[[제품명]:[사양]],2,0),"")</f>
        <v/>
      </c>
      <c r="I177" s="100" t="str">
        <f>IFERROR(VLOOKUP($C177,[5]!BOM_개발품목_1[[제품명]:[사양]],5,0),"")</f>
        <v/>
      </c>
      <c r="J177" s="100" t="str">
        <f>IFERROR(VLOOKUP($C177,[5]!BOM_개발품목_1[[제품명]:[사양]],7,0),"")</f>
        <v/>
      </c>
    </row>
    <row r="178" spans="1:11">
      <c r="A178" s="100" t="str">
        <f t="shared" si="2"/>
        <v>_20250224</v>
      </c>
      <c r="B178" s="103">
        <v>45712</v>
      </c>
      <c r="C178" s="100" t="s">
        <v>776</v>
      </c>
      <c r="F178" s="99"/>
      <c r="G178" s="100" t="str">
        <f>IFERROR(VLOOKUP($C178,[5]!BOM_개발품목_1[[제품명]:[사양]],4,0),"")</f>
        <v/>
      </c>
      <c r="H178" s="100" t="str">
        <f>IFERROR(VLOOKUP($C178,[5]!BOM_개발품목_1[[제품명]:[사양]],2,0),"")</f>
        <v/>
      </c>
      <c r="I178" s="100" t="str">
        <f>IFERROR(VLOOKUP($C178,[5]!BOM_개발품목_1[[제품명]:[사양]],5,0),"")</f>
        <v/>
      </c>
      <c r="J178" s="100" t="str">
        <f>IFERROR(VLOOKUP($C178,[5]!BOM_개발품목_1[[제품명]:[사양]],7,0),"")</f>
        <v/>
      </c>
    </row>
    <row r="179" spans="1:11">
      <c r="A179" s="100" t="str">
        <f t="shared" si="2"/>
        <v>_20250225</v>
      </c>
      <c r="B179" s="103">
        <v>45713</v>
      </c>
      <c r="C179" s="100" t="s">
        <v>544</v>
      </c>
      <c r="D179" t="s">
        <v>812</v>
      </c>
      <c r="F179" s="99"/>
      <c r="G179" s="100" t="str">
        <f>IFERROR(VLOOKUP($C179,[5]!BOM_개발품목_1[[제품명]:[사양]],4,0),"")</f>
        <v/>
      </c>
      <c r="H179" s="100" t="str">
        <f>IFERROR(VLOOKUP($C179,[5]!BOM_개발품목_1[[제품명]:[사양]],2,0),"")</f>
        <v/>
      </c>
      <c r="I179" s="100" t="str">
        <f>IFERROR(VLOOKUP($C179,[5]!BOM_개발품목_1[[제품명]:[사양]],5,0),"")</f>
        <v/>
      </c>
      <c r="J179" s="100" t="str">
        <f>IFERROR(VLOOKUP($C179,[5]!BOM_개발품목_1[[제품명]:[사양]],7,0),"")</f>
        <v/>
      </c>
    </row>
    <row r="180" spans="1:11">
      <c r="A180" s="100" t="str">
        <f t="shared" si="2"/>
        <v>_20250227</v>
      </c>
      <c r="B180" s="103">
        <v>45715</v>
      </c>
      <c r="C180" s="100" t="s">
        <v>549</v>
      </c>
      <c r="D180" t="s">
        <v>813</v>
      </c>
      <c r="E180">
        <v>300</v>
      </c>
      <c r="F180" s="99"/>
      <c r="G180" s="100" t="str">
        <f>IFERROR(VLOOKUP($C180,[5]!BOM_개발품목_1[[제품명]:[사양]],4,0),"")</f>
        <v/>
      </c>
      <c r="H180" s="100" t="str">
        <f>IFERROR(VLOOKUP($C180,[5]!BOM_개발품목_1[[제품명]:[사양]],2,0),"")</f>
        <v/>
      </c>
      <c r="I180" s="100" t="str">
        <f>IFERROR(VLOOKUP($C180,[5]!BOM_개발품목_1[[제품명]:[사양]],5,0),"")</f>
        <v/>
      </c>
      <c r="J180" s="100" t="str">
        <f>IFERROR(VLOOKUP($C180,[5]!BOM_개발품목_1[[제품명]:[사양]],7,0),"")</f>
        <v/>
      </c>
    </row>
    <row r="181" spans="1:11">
      <c r="A181" s="100" t="str">
        <f t="shared" si="2"/>
        <v>_20250305</v>
      </c>
      <c r="B181" s="103">
        <v>45721</v>
      </c>
      <c r="C181" s="100" t="s">
        <v>562</v>
      </c>
      <c r="D181" s="117" t="s">
        <v>814</v>
      </c>
      <c r="E181">
        <v>200</v>
      </c>
      <c r="F181" s="101">
        <v>45723</v>
      </c>
      <c r="G181" s="100" t="str">
        <f>IFERROR(VLOOKUP($C181,[5]!BOM_개발품목_1[[제품명]:[사양]],4,0),"")</f>
        <v/>
      </c>
      <c r="H181" s="100" t="str">
        <f>IFERROR(VLOOKUP($C181,[5]!BOM_개발품목_1[[제품명]:[사양]],2,0),"")</f>
        <v/>
      </c>
      <c r="I181" s="100" t="str">
        <f>IFERROR(VLOOKUP($C181,[5]!BOM_개발품목_1[[제품명]:[사양]],5,0),"")</f>
        <v/>
      </c>
      <c r="J181" s="100" t="str">
        <f>IFERROR(VLOOKUP($C181,[5]!BOM_개발품목_1[[제품명]:[사양]],7,0),"")</f>
        <v/>
      </c>
      <c r="K181" t="s">
        <v>815</v>
      </c>
    </row>
    <row r="182" spans="1:11">
      <c r="A182" s="100" t="str">
        <f t="shared" si="2"/>
        <v>_20250305</v>
      </c>
      <c r="B182" s="103">
        <v>45721</v>
      </c>
      <c r="C182" s="100" t="s">
        <v>816</v>
      </c>
      <c r="F182" s="99"/>
      <c r="G182" s="100" t="str">
        <f>IFERROR(VLOOKUP($C182,[5]!BOM_개발품목_1[[제품명]:[사양]],4,0),"")</f>
        <v/>
      </c>
      <c r="H182" s="100" t="str">
        <f>IFERROR(VLOOKUP($C182,[5]!BOM_개발품목_1[[제품명]:[사양]],2,0),"")</f>
        <v/>
      </c>
      <c r="I182" s="100" t="str">
        <f>IFERROR(VLOOKUP($C182,[5]!BOM_개발품목_1[[제품명]:[사양]],5,0),"")</f>
        <v/>
      </c>
      <c r="J182" s="100" t="str">
        <f>IFERROR(VLOOKUP($C182,[5]!BOM_개발품목_1[[제품명]:[사양]],7,0),"")</f>
        <v/>
      </c>
    </row>
    <row r="183" spans="1:11">
      <c r="A183" s="100" t="str">
        <f t="shared" si="2"/>
        <v>_20250306</v>
      </c>
      <c r="B183" s="103">
        <v>45722</v>
      </c>
      <c r="C183" s="100" t="s">
        <v>767</v>
      </c>
      <c r="D183" t="s">
        <v>817</v>
      </c>
      <c r="E183">
        <v>100</v>
      </c>
      <c r="F183" s="103">
        <v>45723</v>
      </c>
      <c r="G183" s="100" t="str">
        <f>IFERROR(VLOOKUP($C183,[5]!BOM_개발품목_1[[제품명]:[사양]],4,0),"")</f>
        <v/>
      </c>
      <c r="H183" s="100" t="str">
        <f>IFERROR(VLOOKUP($C183,[5]!BOM_개발품목_1[[제품명]:[사양]],2,0),"")</f>
        <v/>
      </c>
      <c r="I183" s="100" t="str">
        <f>IFERROR(VLOOKUP($C183,[5]!BOM_개발품목_1[[제품명]:[사양]],5,0),"")</f>
        <v/>
      </c>
      <c r="J183" s="100" t="str">
        <f>IFERROR(VLOOKUP($C183,[5]!BOM_개발품목_1[[제품명]:[사양]],7,0),"")</f>
        <v/>
      </c>
    </row>
    <row r="184" spans="1:11">
      <c r="A184" s="100" t="str">
        <f t="shared" si="2"/>
        <v>_20250307</v>
      </c>
      <c r="B184" s="103">
        <v>45723</v>
      </c>
      <c r="C184" s="100" t="s">
        <v>818</v>
      </c>
      <c r="D184" t="s">
        <v>819</v>
      </c>
      <c r="F184" s="99"/>
      <c r="G184" s="100" t="str">
        <f>IFERROR(VLOOKUP($C184,[5]!BOM_개발품목_1[[제품명]:[사양]],4,0),"")</f>
        <v/>
      </c>
      <c r="H184" s="100" t="str">
        <f>IFERROR(VLOOKUP($C184,[5]!BOM_개발품목_1[[제품명]:[사양]],2,0),"")</f>
        <v/>
      </c>
      <c r="I184" s="100" t="str">
        <f>IFERROR(VLOOKUP($C184,[5]!BOM_개발품목_1[[제품명]:[사양]],5,0),"")</f>
        <v/>
      </c>
      <c r="J184" s="100" t="str">
        <f>IFERROR(VLOOKUP($C184,[5]!BOM_개발품목_1[[제품명]:[사양]],7,0),"")</f>
        <v/>
      </c>
    </row>
    <row r="185" spans="1:11">
      <c r="A185" s="100" t="str">
        <f t="shared" si="2"/>
        <v>_20250317</v>
      </c>
      <c r="B185" s="103">
        <v>45733</v>
      </c>
      <c r="C185" s="100" t="s">
        <v>768</v>
      </c>
      <c r="D185" t="s">
        <v>820</v>
      </c>
      <c r="E185">
        <v>100</v>
      </c>
      <c r="F185" t="s">
        <v>821</v>
      </c>
      <c r="G185" s="100" t="str">
        <f>IFERROR(VLOOKUP($C185,[5]!BOM_개발품목_1[[제품명]:[사양]],4,0),"")</f>
        <v/>
      </c>
      <c r="H185" s="100" t="str">
        <f>IFERROR(VLOOKUP($C185,[5]!BOM_개발품목_1[[제품명]:[사양]],2,0),"")</f>
        <v/>
      </c>
      <c r="I185" s="100" t="str">
        <f>IFERROR(VLOOKUP($C185,[5]!BOM_개발품목_1[[제품명]:[사양]],5,0),"")</f>
        <v/>
      </c>
      <c r="J185" s="100" t="str">
        <f>IFERROR(VLOOKUP($C185,[5]!BOM_개발품목_1[[제품명]:[사양]],7,0),"")</f>
        <v/>
      </c>
    </row>
    <row r="186" spans="1:11">
      <c r="A186" s="100" t="str">
        <f t="shared" si="2"/>
        <v>SI1464_20250317</v>
      </c>
      <c r="B186" s="103">
        <v>45733</v>
      </c>
      <c r="C186" s="100" t="s">
        <v>822</v>
      </c>
      <c r="D186" t="s">
        <v>823</v>
      </c>
      <c r="E186">
        <v>50</v>
      </c>
      <c r="G186" s="100" t="s">
        <v>824</v>
      </c>
      <c r="H186" s="100"/>
      <c r="I186" s="100" t="s">
        <v>825</v>
      </c>
      <c r="J186" s="100"/>
    </row>
    <row r="187" spans="1:11">
      <c r="A187" s="100" t="str">
        <f t="shared" si="2"/>
        <v>_20250318</v>
      </c>
      <c r="B187" s="103">
        <v>45734</v>
      </c>
      <c r="C187" s="116" t="s">
        <v>803</v>
      </c>
      <c r="D187" t="s">
        <v>826</v>
      </c>
      <c r="E187">
        <v>400</v>
      </c>
      <c r="F187" s="99" t="s">
        <v>821</v>
      </c>
      <c r="G187" s="100" t="str">
        <f>IFERROR(VLOOKUP($C187,[5]!BOM_개발품목_1[[제품명]:[사양]],4,0),"")</f>
        <v/>
      </c>
      <c r="H187" s="100" t="str">
        <f>IFERROR(VLOOKUP($C187,[5]!BOM_개발품목_1[[제품명]:[사양]],2,0),"")</f>
        <v/>
      </c>
      <c r="I187" s="100" t="str">
        <f>IFERROR(VLOOKUP($C187,[5]!BOM_개발품목_1[[제품명]:[사양]],5,0),"")</f>
        <v/>
      </c>
      <c r="J187" s="100" t="str">
        <f>IFERROR(VLOOKUP($C187,[5]!BOM_개발품목_1[[제품명]:[사양]],7,0),"")</f>
        <v/>
      </c>
    </row>
    <row r="188" spans="1:11">
      <c r="A188" s="100" t="str">
        <f t="shared" si="2"/>
        <v>_20250321</v>
      </c>
      <c r="B188" s="103">
        <v>45737</v>
      </c>
      <c r="C188" s="100" t="s">
        <v>597</v>
      </c>
      <c r="D188" t="s">
        <v>827</v>
      </c>
      <c r="F188" s="99"/>
      <c r="G188" s="100" t="str">
        <f>IFERROR(VLOOKUP($C188,[5]!BOM_개발품목_1[[제품명]:[사양]],4,0),"")</f>
        <v/>
      </c>
      <c r="H188" s="100" t="str">
        <f>IFERROR(VLOOKUP($C188,[5]!BOM_개발품목_1[[제품명]:[사양]],2,0),"")</f>
        <v/>
      </c>
      <c r="I188" s="100" t="str">
        <f>IFERROR(VLOOKUP($C188,[5]!BOM_개발품목_1[[제품명]:[사양]],5,0),"")</f>
        <v/>
      </c>
      <c r="J188" s="100" t="str">
        <f>IFERROR(VLOOKUP($C188,[5]!BOM_개발품목_1[[제품명]:[사양]],7,0),"")</f>
        <v/>
      </c>
    </row>
    <row r="189" spans="1:11">
      <c r="A189" s="100" t="str">
        <f t="shared" si="2"/>
        <v>_20250321</v>
      </c>
      <c r="B189" s="103">
        <v>45737</v>
      </c>
      <c r="C189" s="100" t="s">
        <v>594</v>
      </c>
      <c r="D189" t="s">
        <v>827</v>
      </c>
      <c r="F189" s="99"/>
      <c r="G189" s="100" t="str">
        <f>IFERROR(VLOOKUP($C189,[5]!BOM_개발품목_1[[제품명]:[사양]],4,0),"")</f>
        <v/>
      </c>
      <c r="H189" s="100" t="str">
        <f>IFERROR(VLOOKUP($C189,[5]!BOM_개발품목_1[[제품명]:[사양]],2,0),"")</f>
        <v/>
      </c>
      <c r="I189" s="100" t="str">
        <f>IFERROR(VLOOKUP($C189,[5]!BOM_개발품목_1[[제품명]:[사양]],5,0),"")</f>
        <v/>
      </c>
      <c r="J189" s="100" t="str">
        <f>IFERROR(VLOOKUP($C189,[5]!BOM_개발품목_1[[제품명]:[사양]],7,0),"")</f>
        <v/>
      </c>
    </row>
    <row r="190" spans="1:11">
      <c r="A190" s="100" t="str">
        <f t="shared" si="2"/>
        <v>_20250324</v>
      </c>
      <c r="B190" s="103">
        <v>45740</v>
      </c>
      <c r="C190" s="100" t="s">
        <v>776</v>
      </c>
      <c r="D190" t="s">
        <v>823</v>
      </c>
      <c r="F190" s="99"/>
      <c r="G190" s="100" t="str">
        <f>IFERROR(VLOOKUP($C190,[5]!BOM_개발품목_1[[제품명]:[사양]],4,0),"")</f>
        <v/>
      </c>
      <c r="H190" s="100" t="str">
        <f>IFERROR(VLOOKUP($C190,[5]!BOM_개발품목_1[[제품명]:[사양]],2,0),"")</f>
        <v/>
      </c>
      <c r="I190" s="100" t="str">
        <f>IFERROR(VLOOKUP($C190,[5]!BOM_개발품목_1[[제품명]:[사양]],5,0),"")</f>
        <v/>
      </c>
      <c r="J190" s="100" t="str">
        <f>IFERROR(VLOOKUP($C190,[5]!BOM_개발품목_1[[제품명]:[사양]],7,0),"")</f>
        <v/>
      </c>
      <c r="K190" s="118" t="s">
        <v>406</v>
      </c>
    </row>
    <row r="191" spans="1:11">
      <c r="A191" s="100" t="str">
        <f t="shared" si="2"/>
        <v>_20250327</v>
      </c>
      <c r="B191" s="103">
        <v>45743</v>
      </c>
      <c r="C191" s="100" t="s">
        <v>828</v>
      </c>
      <c r="D191" t="s">
        <v>829</v>
      </c>
      <c r="F191" s="99"/>
      <c r="G191" s="100" t="str">
        <f>IFERROR(VLOOKUP($C191,[5]!BOM_개발품목_1[[제품명]:[사양]],4,0),"")</f>
        <v/>
      </c>
      <c r="H191" s="100" t="str">
        <f>IFERROR(VLOOKUP($C191,[5]!BOM_개발품목_1[[제품명]:[사양]],2,0),"")</f>
        <v/>
      </c>
      <c r="I191" s="100" t="str">
        <f>IFERROR(VLOOKUP($C191,[5]!BOM_개발품목_1[[제품명]:[사양]],5,0),"")</f>
        <v/>
      </c>
      <c r="J191" s="100" t="str">
        <f>IFERROR(VLOOKUP($C191,[5]!BOM_개발품목_1[[제품명]:[사양]],7,0),"")</f>
        <v/>
      </c>
    </row>
    <row r="192" spans="1:11">
      <c r="A192" s="100" t="str">
        <f t="shared" si="2"/>
        <v>_20250327</v>
      </c>
      <c r="B192" s="103">
        <v>45743</v>
      </c>
      <c r="C192" s="100" t="s">
        <v>562</v>
      </c>
      <c r="D192" s="117" t="s">
        <v>830</v>
      </c>
      <c r="E192">
        <v>50</v>
      </c>
      <c r="F192" s="101">
        <v>45747</v>
      </c>
      <c r="G192" s="117" t="str">
        <f>IFERROR(VLOOKUP($C192,[5]!BOM_개발품목_1[[제품명]:[사양]],4,0),"")</f>
        <v/>
      </c>
      <c r="H192" s="100" t="str">
        <f>IFERROR(VLOOKUP($C192,[5]!BOM_개발품목_1[[제품명]:[사양]],2,0),"")</f>
        <v/>
      </c>
      <c r="I192" s="100" t="str">
        <f>IFERROR(VLOOKUP($C192,[5]!BOM_개발품목_1[[제품명]:[사양]],5,0),"")</f>
        <v/>
      </c>
      <c r="J192" s="100" t="s">
        <v>831</v>
      </c>
    </row>
    <row r="193" spans="1:10">
      <c r="A193" s="100" t="str">
        <f t="shared" si="2"/>
        <v>_20250327</v>
      </c>
      <c r="B193" s="103">
        <v>45743</v>
      </c>
      <c r="C193" s="100" t="s">
        <v>832</v>
      </c>
      <c r="D193" t="s">
        <v>833</v>
      </c>
      <c r="E193">
        <v>100</v>
      </c>
      <c r="F193" s="101">
        <v>45748</v>
      </c>
      <c r="G193" t="str">
        <f>IFERROR(VLOOKUP($C193,[5]!BOM_개발품목_1[[제품명]:[사양]],4,0),"")</f>
        <v/>
      </c>
      <c r="H193" s="100" t="str">
        <f>IFERROR(VLOOKUP($C193,[5]!BOM_개발품목_1[[제품명]:[사양]],2,0),"")</f>
        <v/>
      </c>
      <c r="I193" s="100" t="str">
        <f>IFERROR(VLOOKUP($C193,[5]!BOM_개발품목_1[[제품명]:[사양]],5,0),"")</f>
        <v/>
      </c>
      <c r="J193" s="100" t="str">
        <f>IFERROR(VLOOKUP($C193,[5]!BOM_개발품목_1[[제품명]:[사양]],7,0),"")</f>
        <v/>
      </c>
    </row>
    <row r="194" spans="1:10">
      <c r="A194" s="100" t="str">
        <f t="shared" si="2"/>
        <v>_20250327</v>
      </c>
      <c r="B194" s="103">
        <v>45743</v>
      </c>
      <c r="C194" s="100" t="s">
        <v>767</v>
      </c>
      <c r="D194" t="s">
        <v>834</v>
      </c>
      <c r="E194">
        <v>100</v>
      </c>
      <c r="F194" s="103"/>
      <c r="G194" s="100" t="str">
        <f>IFERROR(VLOOKUP($C194,[5]!BOM_개발품목_1[[제품명]:[사양]],4,0),"")</f>
        <v/>
      </c>
      <c r="H194" s="100" t="str">
        <f>IFERROR(VLOOKUP($C194,[5]!BOM_개발품목_1[[제품명]:[사양]],2,0),"")</f>
        <v/>
      </c>
      <c r="I194" s="100" t="str">
        <f>IFERROR(VLOOKUP($C194,[5]!BOM_개발품목_1[[제품명]:[사양]],5,0),"")</f>
        <v/>
      </c>
      <c r="J194" s="100" t="str">
        <f>IFERROR(VLOOKUP($C194,[5]!BOM_개발품목_1[[제품명]:[사양]],7,0),"")</f>
        <v/>
      </c>
    </row>
    <row r="195" spans="1:10">
      <c r="A195" s="100" t="str">
        <f t="shared" si="2"/>
        <v>_20250327</v>
      </c>
      <c r="B195" s="103">
        <v>45743</v>
      </c>
      <c r="C195" s="100" t="s">
        <v>597</v>
      </c>
      <c r="D195" t="s">
        <v>785</v>
      </c>
      <c r="E195">
        <v>100</v>
      </c>
      <c r="F195" s="103"/>
      <c r="G195" s="100" t="str">
        <f>IFERROR(VLOOKUP($C195,[5]!BOM_개발품목_1[[제품명]:[사양]],4,0),"")</f>
        <v/>
      </c>
      <c r="H195" s="100" t="str">
        <f>IFERROR(VLOOKUP($C195,[5]!BOM_개발품목_1[[제품명]:[사양]],2,0),"")</f>
        <v/>
      </c>
      <c r="I195" s="100" t="str">
        <f>IFERROR(VLOOKUP($C195,[5]!BOM_개발품목_1[[제품명]:[사양]],5,0),"")</f>
        <v/>
      </c>
      <c r="J195" s="100" t="str">
        <f>IFERROR(VLOOKUP($C195,[5]!BOM_개발품목_1[[제품명]:[사양]],7,0),"")</f>
        <v/>
      </c>
    </row>
    <row r="196" spans="1:10">
      <c r="A196" s="100" t="str">
        <f t="shared" si="2"/>
        <v>_20250327</v>
      </c>
      <c r="B196" s="103">
        <v>45743</v>
      </c>
      <c r="C196" s="100" t="s">
        <v>835</v>
      </c>
      <c r="D196" t="s">
        <v>836</v>
      </c>
      <c r="E196">
        <v>100</v>
      </c>
      <c r="F196" t="s">
        <v>837</v>
      </c>
      <c r="G196" s="100" t="str">
        <f>IFERROR(VLOOKUP($C196,[5]!BOM_개발품목_1[[제품명]:[사양]],4,0),"")</f>
        <v/>
      </c>
      <c r="H196" s="100" t="str">
        <f>IFERROR(VLOOKUP($C196,[5]!BOM_개발품목_1[[제품명]:[사양]],2,0),"")</f>
        <v/>
      </c>
      <c r="I196" s="100" t="str">
        <f>IFERROR(VLOOKUP($C196,[5]!BOM_개발품목_1[[제품명]:[사양]],5,0),"")</f>
        <v/>
      </c>
      <c r="J196" s="100" t="str">
        <f>IFERROR(VLOOKUP($C196,[5]!BOM_개발품목_1[[제품명]:[사양]],7,0),"")</f>
        <v/>
      </c>
    </row>
    <row r="197" spans="1:10">
      <c r="A197" s="100" t="str">
        <f t="shared" ref="A197:A260" si="3">IFERROR(G197&amp;"_"&amp;YEAR(B197)&amp;TEXT(MONTH(B197),"00")&amp;TEXT(DAY(B197),"00"),"")</f>
        <v>_20250327</v>
      </c>
      <c r="B197" s="103">
        <v>45743</v>
      </c>
      <c r="C197" s="100" t="s">
        <v>838</v>
      </c>
      <c r="D197" t="s">
        <v>839</v>
      </c>
      <c r="E197">
        <v>100</v>
      </c>
      <c r="F197" t="s">
        <v>840</v>
      </c>
      <c r="G197" s="100" t="str">
        <f>IFERROR(VLOOKUP($C197,[5]!BOM_개발품목_1[[제품명]:[사양]],4,0),"")</f>
        <v/>
      </c>
      <c r="H197" s="100" t="str">
        <f>IFERROR(VLOOKUP($C197,[5]!BOM_개발품목_1[[제품명]:[사양]],2,0),"")</f>
        <v/>
      </c>
      <c r="I197" s="100" t="str">
        <f>IFERROR(VLOOKUP($C197,[5]!BOM_개발품목_1[[제품명]:[사양]],5,0),"")</f>
        <v/>
      </c>
      <c r="J197" s="100" t="str">
        <f>IFERROR(VLOOKUP($C197,[5]!BOM_개발품목_1[[제품명]:[사양]],7,0),"")</f>
        <v/>
      </c>
    </row>
    <row r="198" spans="1:10">
      <c r="A198" s="100" t="str">
        <f t="shared" si="3"/>
        <v>_20250327</v>
      </c>
      <c r="B198" s="103">
        <v>45743</v>
      </c>
      <c r="C198" s="100" t="s">
        <v>841</v>
      </c>
      <c r="D198" s="104" t="s">
        <v>842</v>
      </c>
      <c r="E198">
        <v>100</v>
      </c>
      <c r="G198" s="100" t="str">
        <f>IFERROR(VLOOKUP($C198,[5]!BOM_개발품목_1[[제품명]:[사양]],4,0),"")</f>
        <v/>
      </c>
      <c r="H198" s="100" t="str">
        <f>IFERROR(VLOOKUP($C198,[5]!BOM_개발품목_1[[제품명]:[사양]],2,0),"")</f>
        <v/>
      </c>
      <c r="I198" s="100" t="str">
        <f>IFERROR(VLOOKUP($C198,[5]!BOM_개발품목_1[[제품명]:[사양]],5,0),"")</f>
        <v/>
      </c>
      <c r="J198" s="100" t="str">
        <f>IFERROR(VLOOKUP($C198,[5]!BOM_개발품목_1[[제품명]:[사양]],7,0),"")</f>
        <v/>
      </c>
    </row>
    <row r="199" spans="1:10">
      <c r="A199" s="100" t="str">
        <f t="shared" si="3"/>
        <v>_20250331</v>
      </c>
      <c r="B199" s="103">
        <v>45747</v>
      </c>
      <c r="C199" s="100" t="s">
        <v>772</v>
      </c>
      <c r="D199" t="s">
        <v>843</v>
      </c>
      <c r="F199" s="99"/>
      <c r="G199" s="100" t="str">
        <f>IFERROR(VLOOKUP($C199,[5]!BOM_개발품목_1[[제품명]:[사양]],4,0),"")</f>
        <v/>
      </c>
      <c r="H199" s="100" t="str">
        <f>IFERROR(VLOOKUP($C199,[5]!BOM_개발품목_1[[제품명]:[사양]],2,0),"")</f>
        <v/>
      </c>
      <c r="I199" s="100" t="str">
        <f>IFERROR(VLOOKUP($C199,[5]!BOM_개발품목_1[[제품명]:[사양]],5,0),"")</f>
        <v/>
      </c>
      <c r="J199" s="100" t="str">
        <f>IFERROR(VLOOKUP($C199,[5]!BOM_개발품목_1[[제품명]:[사양]],7,0),"")</f>
        <v/>
      </c>
    </row>
    <row r="200" spans="1:10">
      <c r="A200" s="100" t="str">
        <f t="shared" si="3"/>
        <v>_20250331</v>
      </c>
      <c r="B200" s="103">
        <v>45747</v>
      </c>
      <c r="C200" s="100" t="s">
        <v>801</v>
      </c>
      <c r="D200" t="s">
        <v>844</v>
      </c>
      <c r="E200">
        <v>50</v>
      </c>
      <c r="F200" s="99"/>
      <c r="G200" s="100" t="str">
        <f>IFERROR(VLOOKUP($C200,[5]!BOM_개발품목_1[[제품명]:[사양]],4,0),"")</f>
        <v/>
      </c>
      <c r="H200" s="100" t="str">
        <f>IFERROR(VLOOKUP($C200,[5]!BOM_개발품목_1[[제품명]:[사양]],2,0),"")</f>
        <v/>
      </c>
      <c r="I200" s="100" t="str">
        <f>IFERROR(VLOOKUP($C200,[5]!BOM_개발품목_1[[제품명]:[사양]],5,0),"")</f>
        <v/>
      </c>
      <c r="J200" s="100" t="str">
        <f>IFERROR(VLOOKUP($C200,[5]!BOM_개발품목_1[[제품명]:[사양]],7,0),"")</f>
        <v/>
      </c>
    </row>
    <row r="201" spans="1:10">
      <c r="A201" s="100" t="str">
        <f t="shared" si="3"/>
        <v>_20250329</v>
      </c>
      <c r="B201" s="103">
        <v>45745</v>
      </c>
      <c r="C201" s="100" t="s">
        <v>845</v>
      </c>
      <c r="D201" t="s">
        <v>846</v>
      </c>
      <c r="G201" s="100" t="str">
        <f>IFERROR(VLOOKUP($C201,[5]!BOM_개발품목_1[[제품명]:[사양]],4,0),"")</f>
        <v/>
      </c>
      <c r="H201" s="100" t="str">
        <f>IFERROR(VLOOKUP($C201,[5]!BOM_개발품목_1[[제품명]:[사양]],2,0),"")</f>
        <v/>
      </c>
      <c r="I201" s="100" t="str">
        <f>IFERROR(VLOOKUP($C201,[5]!BOM_개발품목_1[[제품명]:[사양]],5,0),"")</f>
        <v/>
      </c>
      <c r="J201" s="100" t="str">
        <f>IFERROR(VLOOKUP($C201,[5]!BOM_개발품목_1[[제품명]:[사양]],7,0),"")</f>
        <v/>
      </c>
    </row>
    <row r="202" spans="1:10">
      <c r="A202" s="100" t="str">
        <f t="shared" si="3"/>
        <v>_20250401</v>
      </c>
      <c r="B202" s="103">
        <v>45748</v>
      </c>
      <c r="C202" s="100" t="s">
        <v>816</v>
      </c>
      <c r="D202" t="s">
        <v>409</v>
      </c>
      <c r="F202" s="103">
        <v>45749</v>
      </c>
      <c r="G202" s="100" t="str">
        <f>IFERROR(VLOOKUP($C202,[5]!BOM_개발품목_1[[제품명]:[사양]],4,0),"")</f>
        <v/>
      </c>
      <c r="H202" s="100" t="str">
        <f>IFERROR(VLOOKUP($C202,[5]!BOM_개발품목_1[[제품명]:[사양]],2,0),"")</f>
        <v/>
      </c>
      <c r="I202" s="100" t="str">
        <f>IFERROR(VLOOKUP($C202,[5]!BOM_개발품목_1[[제품명]:[사양]],5,0),"")</f>
        <v/>
      </c>
      <c r="J202" s="100" t="str">
        <f>IFERROR(VLOOKUP($C202,[5]!BOM_개발품목_1[[제품명]:[사양]],7,0),"")</f>
        <v/>
      </c>
    </row>
    <row r="203" spans="1:10">
      <c r="A203" s="100" t="str">
        <f t="shared" si="3"/>
        <v>_20250402</v>
      </c>
      <c r="B203" s="103">
        <v>45749</v>
      </c>
      <c r="C203" s="100" t="s">
        <v>847</v>
      </c>
      <c r="D203" t="s">
        <v>848</v>
      </c>
      <c r="E203">
        <v>50</v>
      </c>
      <c r="F203" s="99"/>
      <c r="G203" s="100" t="str">
        <f>IFERROR(VLOOKUP($C203,[5]!BOM_개발품목_1[[제품명]:[사양]],4,0),"")</f>
        <v/>
      </c>
      <c r="H203" s="100" t="str">
        <f>IFERROR(VLOOKUP($C203,[5]!BOM_개발품목_1[[제품명]:[사양]],2,0),"")</f>
        <v/>
      </c>
      <c r="I203" s="100" t="str">
        <f>IFERROR(VLOOKUP($C203,[5]!BOM_개발품목_1[[제품명]:[사양]],5,0),"")</f>
        <v/>
      </c>
      <c r="J203" s="100" t="str">
        <f>IFERROR(VLOOKUP($C203,[5]!BOM_개발품목_1[[제품명]:[사양]],7,0),"")</f>
        <v/>
      </c>
    </row>
    <row r="204" spans="1:10">
      <c r="A204" s="100" t="str">
        <f t="shared" si="3"/>
        <v>_20250402</v>
      </c>
      <c r="B204" s="103">
        <v>45749</v>
      </c>
      <c r="C204" s="100" t="s">
        <v>849</v>
      </c>
      <c r="D204" t="s">
        <v>850</v>
      </c>
      <c r="E204">
        <v>50</v>
      </c>
      <c r="F204" s="99"/>
      <c r="G204" s="100" t="str">
        <f>IFERROR(VLOOKUP($C204,[5]!BOM_개발품목_1[[제품명]:[사양]],4,0),"")</f>
        <v/>
      </c>
      <c r="H204" s="100" t="str">
        <f>IFERROR(VLOOKUP($C204,[5]!BOM_개발품목_1[[제품명]:[사양]],2,0),"")</f>
        <v/>
      </c>
      <c r="I204" s="100" t="str">
        <f>IFERROR(VLOOKUP($C204,[5]!BOM_개발품목_1[[제품명]:[사양]],5,0),"")</f>
        <v/>
      </c>
      <c r="J204" s="100" t="str">
        <f>IFERROR(VLOOKUP($C204,[5]!BOM_개발품목_1[[제품명]:[사양]],7,0),"")</f>
        <v/>
      </c>
    </row>
    <row r="205" spans="1:10">
      <c r="A205" s="100" t="str">
        <f t="shared" si="3"/>
        <v>_20250408</v>
      </c>
      <c r="B205" s="103">
        <v>45755</v>
      </c>
      <c r="C205" s="100" t="s">
        <v>851</v>
      </c>
      <c r="D205" t="s">
        <v>852</v>
      </c>
      <c r="F205" s="99"/>
      <c r="G205" s="100" t="str">
        <f>IFERROR(VLOOKUP($C205,[5]!BOM_개발품목_1[[제품명]:[사양]],4,0),"")</f>
        <v/>
      </c>
      <c r="H205" s="100" t="str">
        <f>IFERROR(VLOOKUP($C205,[5]!BOM_개발품목_1[[제품명]:[사양]],2,0),"")</f>
        <v/>
      </c>
      <c r="I205" s="100" t="str">
        <f>IFERROR(VLOOKUP($C205,[5]!BOM_개발품목_1[[제품명]:[사양]],5,0),"")</f>
        <v/>
      </c>
      <c r="J205" s="100" t="str">
        <f>IFERROR(VLOOKUP($C205,[5]!BOM_개발품목_1[[제품명]:[사양]],7,0),"")</f>
        <v/>
      </c>
    </row>
    <row r="206" spans="1:10">
      <c r="A206" s="100" t="str">
        <f t="shared" si="3"/>
        <v>_20250409</v>
      </c>
      <c r="B206" s="103">
        <v>45756</v>
      </c>
      <c r="C206" s="100" t="s">
        <v>596</v>
      </c>
      <c r="D206" t="s">
        <v>853</v>
      </c>
      <c r="E206">
        <v>150</v>
      </c>
      <c r="F206" s="101">
        <v>45693</v>
      </c>
      <c r="G206" s="100" t="str">
        <f>IFERROR(VLOOKUP($C206,[5]!BOM_개발품목_1[[제품명]:[사양]],4,0),"")</f>
        <v/>
      </c>
      <c r="H206" s="100" t="str">
        <f>IFERROR(VLOOKUP($C206,[5]!BOM_개발품목_1[[제품명]:[사양]],2,0),"")</f>
        <v/>
      </c>
      <c r="I206" s="100" t="str">
        <f>IFERROR(VLOOKUP($C206,[5]!BOM_개발품목_1[[제품명]:[사양]],5,0),"")</f>
        <v/>
      </c>
      <c r="J206" s="100" t="str">
        <f>IFERROR(VLOOKUP($C206,[5]!BOM_개발품목_1[[제품명]:[사양]],7,0),"")</f>
        <v/>
      </c>
    </row>
    <row r="207" spans="1:10">
      <c r="A207" s="100" t="str">
        <f t="shared" si="3"/>
        <v>_20250409</v>
      </c>
      <c r="B207" s="103">
        <v>45756</v>
      </c>
      <c r="C207" s="100" t="s">
        <v>776</v>
      </c>
      <c r="D207" t="s">
        <v>854</v>
      </c>
      <c r="E207">
        <v>200</v>
      </c>
      <c r="F207" s="101">
        <v>45758</v>
      </c>
      <c r="G207" s="100" t="str">
        <f>IFERROR(VLOOKUP($C207,[5]!BOM_개발품목_1[[제품명]:[사양]],4,0),"")</f>
        <v/>
      </c>
      <c r="H207" s="100" t="str">
        <f>IFERROR(VLOOKUP($C207,[5]!BOM_개발품목_1[[제품명]:[사양]],2,0),"")</f>
        <v/>
      </c>
      <c r="I207" s="100" t="str">
        <f>IFERROR(VLOOKUP($C207,[5]!BOM_개발품목_1[[제품명]:[사양]],5,0),"")</f>
        <v/>
      </c>
      <c r="J207" s="100" t="str">
        <f>IFERROR(VLOOKUP($C207,[5]!BOM_개발품목_1[[제품명]:[사양]],7,0),"")</f>
        <v/>
      </c>
    </row>
    <row r="208" spans="1:10">
      <c r="A208" s="100" t="str">
        <f t="shared" si="3"/>
        <v>_20250418</v>
      </c>
      <c r="B208" s="103">
        <v>45765</v>
      </c>
      <c r="C208" s="100" t="s">
        <v>816</v>
      </c>
      <c r="D208" t="s">
        <v>764</v>
      </c>
      <c r="E208">
        <v>100</v>
      </c>
      <c r="G208" s="100" t="str">
        <f>IFERROR(VLOOKUP($C208,[5]!BOM_개발품목_1[[제품명]:[사양]],4,0),"")</f>
        <v/>
      </c>
      <c r="H208" s="100" t="str">
        <f>IFERROR(VLOOKUP($C208,[5]!BOM_개발품목_1[[제품명]:[사양]],2,0),"")</f>
        <v/>
      </c>
      <c r="I208" s="100" t="str">
        <f>IFERROR(VLOOKUP($C208,[5]!BOM_개발품목_1[[제품명]:[사양]],5,0),"")</f>
        <v/>
      </c>
      <c r="J208" s="100" t="str">
        <f>IFERROR(VLOOKUP($C208,[5]!BOM_개발품목_1[[제품명]:[사양]],7,0),"")</f>
        <v/>
      </c>
    </row>
    <row r="209" spans="1:10">
      <c r="A209" s="100" t="str">
        <f t="shared" si="3"/>
        <v>_20250415</v>
      </c>
      <c r="B209" s="103">
        <v>45762</v>
      </c>
      <c r="C209" s="100" t="s">
        <v>810</v>
      </c>
      <c r="D209" t="s">
        <v>855</v>
      </c>
      <c r="E209">
        <v>100</v>
      </c>
      <c r="F209" s="101">
        <v>45764</v>
      </c>
      <c r="G209" s="100" t="str">
        <f>IFERROR(VLOOKUP($C209,[5]!BOM_개발품목_1[[제품명]:[사양]],4,0),"")</f>
        <v/>
      </c>
      <c r="H209" s="100" t="str">
        <f>IFERROR(VLOOKUP($C209,[5]!BOM_개발품목_1[[제품명]:[사양]],2,0),"")</f>
        <v/>
      </c>
      <c r="I209" s="100" t="str">
        <f>IFERROR(VLOOKUP($C209,[5]!BOM_개발품목_1[[제품명]:[사양]],5,0),"")</f>
        <v/>
      </c>
      <c r="J209" s="100" t="str">
        <f>IFERROR(VLOOKUP($C209,[5]!BOM_개발품목_1[[제품명]:[사양]],7,0),"")</f>
        <v/>
      </c>
    </row>
    <row r="210" spans="1:10">
      <c r="A210" s="100" t="str">
        <f t="shared" si="3"/>
        <v>_20250415</v>
      </c>
      <c r="B210" s="103">
        <v>45762</v>
      </c>
      <c r="C210" s="100" t="s">
        <v>596</v>
      </c>
      <c r="D210" t="s">
        <v>856</v>
      </c>
      <c r="E210">
        <v>150</v>
      </c>
      <c r="F210" s="103">
        <v>45765</v>
      </c>
      <c r="G210" s="100" t="str">
        <f>IFERROR(VLOOKUP($C210,[5]!BOM_개발품목_1[[제품명]:[사양]],4,0),"")</f>
        <v/>
      </c>
      <c r="H210" s="100" t="str">
        <f>IFERROR(VLOOKUP($C210,[5]!BOM_개발품목_1[[제품명]:[사양]],2,0),"")</f>
        <v/>
      </c>
      <c r="I210" s="100" t="str">
        <f>IFERROR(VLOOKUP($C210,[5]!BOM_개발품목_1[[제품명]:[사양]],5,0),"")</f>
        <v/>
      </c>
      <c r="J210" s="100" t="str">
        <f>IFERROR(VLOOKUP($C210,[5]!BOM_개발품목_1[[제품명]:[사양]],7,0),"")</f>
        <v/>
      </c>
    </row>
    <row r="211" spans="1:10">
      <c r="A211" s="100" t="str">
        <f t="shared" si="3"/>
        <v>_20250415</v>
      </c>
      <c r="B211" s="103">
        <v>45762</v>
      </c>
      <c r="C211" s="100" t="s">
        <v>772</v>
      </c>
      <c r="D211" t="s">
        <v>857</v>
      </c>
      <c r="E211">
        <v>200</v>
      </c>
      <c r="G211" s="100" t="str">
        <f>IFERROR(VLOOKUP($C211,[5]!BOM_개발품목_1[[제품명]:[사양]],4,0),"")</f>
        <v/>
      </c>
      <c r="H211" s="100" t="str">
        <f>IFERROR(VLOOKUP($C211,[5]!BOM_개발품목_1[[제품명]:[사양]],2,0),"")</f>
        <v/>
      </c>
      <c r="I211" s="100" t="str">
        <f>IFERROR(VLOOKUP($C211,[5]!BOM_개발품목_1[[제품명]:[사양]],5,0),"")</f>
        <v/>
      </c>
      <c r="J211" s="100" t="str">
        <f>IFERROR(VLOOKUP($C211,[5]!BOM_개발품목_1[[제품명]:[사양]],7,0),"")</f>
        <v/>
      </c>
    </row>
    <row r="212" spans="1:10">
      <c r="A212" s="100" t="str">
        <f t="shared" si="3"/>
        <v>_20250416</v>
      </c>
      <c r="B212" s="103">
        <v>45763</v>
      </c>
      <c r="C212" s="100" t="s">
        <v>847</v>
      </c>
      <c r="D212" t="s">
        <v>858</v>
      </c>
      <c r="E212">
        <v>200</v>
      </c>
      <c r="F212" s="103">
        <v>45768</v>
      </c>
      <c r="G212" s="100" t="str">
        <f>IFERROR(VLOOKUP($C212,[5]!BOM_개발품목_1[[제품명]:[사양]],4,0),"")</f>
        <v/>
      </c>
      <c r="H212" s="100" t="str">
        <f>IFERROR(VLOOKUP($C212,[5]!BOM_개발품목_1[[제품명]:[사양]],2,0),"")</f>
        <v/>
      </c>
      <c r="I212" s="100" t="str">
        <f>IFERROR(VLOOKUP($C212,[5]!BOM_개발품목_1[[제품명]:[사양]],5,0),"")</f>
        <v/>
      </c>
      <c r="J212" s="100" t="str">
        <f>IFERROR(VLOOKUP($C212,[5]!BOM_개발품목_1[[제품명]:[사양]],7,0),"")</f>
        <v/>
      </c>
    </row>
    <row r="213" spans="1:10">
      <c r="A213" s="100" t="str">
        <f t="shared" si="3"/>
        <v>_20250417</v>
      </c>
      <c r="B213" s="103">
        <v>45764</v>
      </c>
      <c r="C213" s="100" t="s">
        <v>849</v>
      </c>
      <c r="D213" t="s">
        <v>859</v>
      </c>
      <c r="E213">
        <v>200</v>
      </c>
      <c r="F213" s="103">
        <v>45768</v>
      </c>
      <c r="G213" s="100" t="str">
        <f>IFERROR(VLOOKUP($C213,[5]!BOM_개발품목_1[[제품명]:[사양]],4,0),"")</f>
        <v/>
      </c>
      <c r="H213" s="100" t="str">
        <f>IFERROR(VLOOKUP($C213,[5]!BOM_개발품목_1[[제품명]:[사양]],2,0),"")</f>
        <v/>
      </c>
      <c r="I213" s="100" t="str">
        <f>IFERROR(VLOOKUP($C213,[5]!BOM_개발품목_1[[제품명]:[사양]],5,0),"")</f>
        <v/>
      </c>
      <c r="J213" s="100" t="str">
        <f>IFERROR(VLOOKUP($C213,[5]!BOM_개발품목_1[[제품명]:[사양]],7,0),"")</f>
        <v/>
      </c>
    </row>
    <row r="214" spans="1:10">
      <c r="A214" s="100" t="str">
        <f t="shared" si="3"/>
        <v>_20250418</v>
      </c>
      <c r="B214" s="103">
        <v>45765</v>
      </c>
      <c r="C214" s="100" t="s">
        <v>860</v>
      </c>
      <c r="D214" s="99" t="s">
        <v>861</v>
      </c>
      <c r="E214">
        <v>50</v>
      </c>
      <c r="F214" s="103">
        <v>45769</v>
      </c>
      <c r="G214" s="100" t="str">
        <f>IFERROR(VLOOKUP($C214,[5]!BOM_개발품목_1[[제품명]:[사양]],4,0),"")</f>
        <v/>
      </c>
      <c r="H214" s="100" t="str">
        <f>IFERROR(VLOOKUP($C214,[5]!BOM_개발품목_1[[제품명]:[사양]],2,0),"")</f>
        <v/>
      </c>
      <c r="I214" s="100" t="str">
        <f>IFERROR(VLOOKUP($C214,[5]!BOM_개발품목_1[[제품명]:[사양]],5,0),"")</f>
        <v/>
      </c>
      <c r="J214" s="100" t="str">
        <f>IFERROR(VLOOKUP($C214,[5]!BOM_개발품목_1[[제품명]:[사양]],7,0),"")</f>
        <v/>
      </c>
    </row>
    <row r="215" spans="1:10">
      <c r="A215" s="100" t="str">
        <f t="shared" si="3"/>
        <v>_19000100</v>
      </c>
      <c r="B215" s="103"/>
      <c r="C215" s="100"/>
      <c r="D215" s="99" t="s">
        <v>862</v>
      </c>
      <c r="G215" s="100" t="str">
        <f>IFERROR(VLOOKUP($C215,[5]!BOM_개발품목_1[[제품명]:[사양]],4,0),"")</f>
        <v/>
      </c>
      <c r="H215" s="100" t="str">
        <f>IFERROR(VLOOKUP($C215,[5]!BOM_개발품목_1[[제품명]:[사양]],2,0),"")</f>
        <v/>
      </c>
      <c r="I215" s="100" t="str">
        <f>IFERROR(VLOOKUP($C215,[5]!BOM_개발품목_1[[제품명]:[사양]],5,0),"")</f>
        <v/>
      </c>
      <c r="J215" s="100" t="str">
        <f>IFERROR(VLOOKUP($C215,[5]!BOM_개발품목_1[[제품명]:[사양]],7,0),"")</f>
        <v/>
      </c>
    </row>
    <row r="216" spans="1:10">
      <c r="A216" s="100" t="str">
        <f t="shared" si="3"/>
        <v>_19000100</v>
      </c>
      <c r="B216"/>
      <c r="C216" s="100"/>
      <c r="D216" t="s">
        <v>863</v>
      </c>
      <c r="G216" s="100" t="str">
        <f>IFERROR(VLOOKUP($C216,[5]!BOM_개발품목_1[[제품명]:[사양]],4,0),"")</f>
        <v/>
      </c>
      <c r="H216" s="100" t="str">
        <f>IFERROR(VLOOKUP($C216,[5]!BOM_개발품목_1[[제품명]:[사양]],2,0),"")</f>
        <v/>
      </c>
      <c r="I216" s="100" t="str">
        <f>IFERROR(VLOOKUP($C216,[5]!BOM_개발품목_1[[제품명]:[사양]],5,0),"")</f>
        <v/>
      </c>
      <c r="J216" s="100" t="str">
        <f>IFERROR(VLOOKUP($C216,[5]!BOM_개발품목_1[[제품명]:[사양]],7,0),"")</f>
        <v/>
      </c>
    </row>
    <row r="217" spans="1:10">
      <c r="A217" s="100" t="str">
        <f t="shared" si="3"/>
        <v>_20250425</v>
      </c>
      <c r="B217" s="103">
        <v>45772</v>
      </c>
      <c r="C217" s="100" t="s">
        <v>864</v>
      </c>
      <c r="D217" t="s">
        <v>865</v>
      </c>
      <c r="E217">
        <v>100</v>
      </c>
      <c r="F217" s="103">
        <v>45775</v>
      </c>
      <c r="G217" s="100" t="str">
        <f>IFERROR(VLOOKUP($C217,[5]!BOM_개발품목_1[[제품명]:[사양]],4,0),"")</f>
        <v/>
      </c>
      <c r="H217" s="100" t="str">
        <f>IFERROR(VLOOKUP($C217,[5]!BOM_개발품목_1[[제품명]:[사양]],2,0),"")</f>
        <v/>
      </c>
      <c r="I217" s="100" t="str">
        <f>IFERROR(VLOOKUP($C217,[5]!BOM_개발품목_1[[제품명]:[사양]],5,0),"")</f>
        <v/>
      </c>
      <c r="J217" s="100" t="str">
        <f>IFERROR(VLOOKUP($C217,[5]!BOM_개발품목_1[[제품명]:[사양]],7,0),"")</f>
        <v/>
      </c>
    </row>
    <row r="218" spans="1:10">
      <c r="A218" s="100" t="str">
        <f t="shared" si="3"/>
        <v>_20250425</v>
      </c>
      <c r="B218" s="103">
        <v>45772</v>
      </c>
      <c r="C218" s="100" t="s">
        <v>866</v>
      </c>
      <c r="D218" t="s">
        <v>867</v>
      </c>
      <c r="E218">
        <v>100</v>
      </c>
      <c r="F218" s="103">
        <v>45775</v>
      </c>
      <c r="G218" s="100" t="str">
        <f>IFERROR(VLOOKUP($C218,[5]!BOM_개발품목_1[[제품명]:[사양]],4,0),"")</f>
        <v/>
      </c>
      <c r="H218" s="100" t="str">
        <f>IFERROR(VLOOKUP($C218,[5]!BOM_개발품목_1[[제품명]:[사양]],2,0),"")</f>
        <v/>
      </c>
      <c r="I218" s="100" t="str">
        <f>IFERROR(VLOOKUP($C218,[5]!BOM_개발품목_1[[제품명]:[사양]],5,0),"")</f>
        <v/>
      </c>
      <c r="J218" s="100" t="str">
        <f>IFERROR(VLOOKUP($C218,[5]!BOM_개발품목_1[[제품명]:[사양]],7,0),"")</f>
        <v/>
      </c>
    </row>
    <row r="219" spans="1:10">
      <c r="A219" s="100" t="str">
        <f t="shared" si="3"/>
        <v>_20250425</v>
      </c>
      <c r="B219" s="103">
        <v>45772</v>
      </c>
      <c r="C219" s="100" t="s">
        <v>868</v>
      </c>
      <c r="D219" t="s">
        <v>865</v>
      </c>
      <c r="E219">
        <v>100</v>
      </c>
      <c r="F219" s="103">
        <v>45775</v>
      </c>
      <c r="G219" s="100" t="str">
        <f>IFERROR(VLOOKUP($C219,[5]!BOM_개발품목_1[[제품명]:[사양]],4,0),"")</f>
        <v/>
      </c>
      <c r="H219" s="100" t="str">
        <f>IFERROR(VLOOKUP($C219,[5]!BOM_개발품목_1[[제품명]:[사양]],2,0),"")</f>
        <v/>
      </c>
      <c r="I219" s="100" t="str">
        <f>IFERROR(VLOOKUP($C219,[5]!BOM_개발품목_1[[제품명]:[사양]],5,0),"")</f>
        <v/>
      </c>
      <c r="J219" s="100" t="str">
        <f>IFERROR(VLOOKUP($C219,[5]!BOM_개발품목_1[[제품명]:[사양]],7,0),"")</f>
        <v/>
      </c>
    </row>
    <row r="220" spans="1:10">
      <c r="A220" s="100" t="str">
        <f t="shared" si="3"/>
        <v>_20250425</v>
      </c>
      <c r="B220" s="103">
        <v>45772</v>
      </c>
      <c r="C220" s="100" t="s">
        <v>869</v>
      </c>
      <c r="D220" t="s">
        <v>870</v>
      </c>
      <c r="E220">
        <v>200</v>
      </c>
      <c r="F220" s="103">
        <v>45775</v>
      </c>
      <c r="G220" s="100" t="str">
        <f>IFERROR(VLOOKUP($C220,[5]!BOM_개발품목_1[[제품명]:[사양]],4,0),"")</f>
        <v/>
      </c>
      <c r="H220" s="100" t="str">
        <f>IFERROR(VLOOKUP($C220,[5]!BOM_개발품목_1[[제품명]:[사양]],2,0),"")</f>
        <v/>
      </c>
      <c r="I220" s="100" t="str">
        <f>IFERROR(VLOOKUP($C220,[5]!BOM_개발품목_1[[제품명]:[사양]],5,0),"")</f>
        <v/>
      </c>
      <c r="J220" s="100" t="str">
        <f>IFERROR(VLOOKUP($C220,[5]!BOM_개발품목_1[[제품명]:[사양]],7,0),"")</f>
        <v/>
      </c>
    </row>
    <row r="221" spans="1:10">
      <c r="A221" s="100" t="str">
        <f t="shared" si="3"/>
        <v>_20250425</v>
      </c>
      <c r="B221" s="103">
        <v>45772</v>
      </c>
      <c r="C221" s="100" t="s">
        <v>776</v>
      </c>
      <c r="D221" t="s">
        <v>871</v>
      </c>
      <c r="E221">
        <v>200</v>
      </c>
      <c r="F221" s="103">
        <v>45775</v>
      </c>
      <c r="G221" s="100" t="str">
        <f>IFERROR(VLOOKUP($C221,[5]!BOM_개발품목_1[[제품명]:[사양]],4,0),"")</f>
        <v/>
      </c>
      <c r="H221" s="100" t="str">
        <f>IFERROR(VLOOKUP($C221,[5]!BOM_개발품목_1[[제품명]:[사양]],2,0),"")</f>
        <v/>
      </c>
      <c r="I221" s="100" t="str">
        <f>IFERROR(VLOOKUP($C221,[5]!BOM_개발품목_1[[제품명]:[사양]],5,0),"")</f>
        <v/>
      </c>
      <c r="J221" s="100" t="str">
        <f>IFERROR(VLOOKUP($C221,[5]!BOM_개발품목_1[[제품명]:[사양]],7,0),"")</f>
        <v/>
      </c>
    </row>
    <row r="222" spans="1:10">
      <c r="A222" s="100" t="str">
        <f t="shared" si="3"/>
        <v>_20250428</v>
      </c>
      <c r="B222" s="103">
        <v>45775</v>
      </c>
      <c r="C222" s="100" t="s">
        <v>872</v>
      </c>
      <c r="D222" t="s">
        <v>873</v>
      </c>
      <c r="E222">
        <v>100</v>
      </c>
      <c r="F222" s="103">
        <v>45777</v>
      </c>
      <c r="G222" s="100" t="str">
        <f>IFERROR(VLOOKUP($C222,[5]!BOM_개발품목_1[[제품명]:[사양]],4,0),"")</f>
        <v/>
      </c>
      <c r="H222" s="100" t="str">
        <f>IFERROR(VLOOKUP($C222,[5]!BOM_개발품목_1[[제품명]:[사양]],2,0),"")</f>
        <v/>
      </c>
      <c r="I222" s="100" t="str">
        <f>IFERROR(VLOOKUP($C222,[5]!BOM_개발품목_1[[제품명]:[사양]],5,0),"")</f>
        <v/>
      </c>
      <c r="J222" s="100" t="str">
        <f>IFERROR(VLOOKUP($C222,[5]!BOM_개발품목_1[[제품명]:[사양]],7,0),"")</f>
        <v/>
      </c>
    </row>
    <row r="223" spans="1:10">
      <c r="A223" s="100" t="str">
        <f t="shared" si="3"/>
        <v>_20250428</v>
      </c>
      <c r="B223" s="103">
        <v>45775</v>
      </c>
      <c r="C223" s="100" t="s">
        <v>874</v>
      </c>
      <c r="D223" t="s">
        <v>875</v>
      </c>
      <c r="E223">
        <v>50</v>
      </c>
      <c r="F223" s="103">
        <v>45785</v>
      </c>
      <c r="G223" s="100" t="str">
        <f>IFERROR(VLOOKUP($C223,[5]!BOM_개발품목_1[[제품명]:[사양]],4,0),"")</f>
        <v/>
      </c>
      <c r="H223" s="100" t="str">
        <f>IFERROR(VLOOKUP($C223,[5]!BOM_개발품목_1[[제품명]:[사양]],2,0),"")</f>
        <v/>
      </c>
      <c r="I223" s="100" t="str">
        <f>IFERROR(VLOOKUP($C223,[5]!BOM_개발품목_1[[제품명]:[사양]],5,0),"")</f>
        <v/>
      </c>
      <c r="J223" s="100" t="str">
        <f>IFERROR(VLOOKUP($C223,[5]!BOM_개발품목_1[[제품명]:[사양]],7,0),"")</f>
        <v/>
      </c>
    </row>
    <row r="224" spans="1:10">
      <c r="A224" s="100" t="str">
        <f t="shared" si="3"/>
        <v>_20250428</v>
      </c>
      <c r="B224" s="103">
        <v>45775</v>
      </c>
      <c r="C224" s="100" t="s">
        <v>847</v>
      </c>
      <c r="D224" t="s">
        <v>876</v>
      </c>
      <c r="E224">
        <v>50</v>
      </c>
      <c r="F224" s="103">
        <v>45783</v>
      </c>
      <c r="G224" s="100" t="str">
        <f>IFERROR(VLOOKUP($C224,[5]!BOM_개발품목_1[[제품명]:[사양]],4,0),"")</f>
        <v/>
      </c>
      <c r="H224" s="100" t="str">
        <f>IFERROR(VLOOKUP($C224,[5]!BOM_개발품목_1[[제품명]:[사양]],2,0),"")</f>
        <v/>
      </c>
      <c r="I224" s="100" t="str">
        <f>IFERROR(VLOOKUP($C224,[5]!BOM_개발품목_1[[제품명]:[사양]],5,0),"")</f>
        <v/>
      </c>
      <c r="J224" s="100" t="str">
        <f>IFERROR(VLOOKUP($C224,[5]!BOM_개발품목_1[[제품명]:[사양]],7,0),"")</f>
        <v/>
      </c>
    </row>
    <row r="225" spans="1:13">
      <c r="A225" s="100" t="str">
        <f t="shared" si="3"/>
        <v>_20250428</v>
      </c>
      <c r="B225" s="103">
        <v>45775</v>
      </c>
      <c r="C225" s="100" t="s">
        <v>849</v>
      </c>
      <c r="D225" t="s">
        <v>876</v>
      </c>
      <c r="E225">
        <v>50</v>
      </c>
      <c r="F225" s="103">
        <v>45783</v>
      </c>
      <c r="G225" s="100" t="str">
        <f>IFERROR(VLOOKUP($C225,[5]!BOM_개발품목_1[[제품명]:[사양]],4,0),"")</f>
        <v/>
      </c>
      <c r="H225" s="100" t="str">
        <f>IFERROR(VLOOKUP($C225,[5]!BOM_개발품목_1[[제품명]:[사양]],2,0),"")</f>
        <v/>
      </c>
      <c r="I225" s="100" t="str">
        <f>IFERROR(VLOOKUP($C225,[5]!BOM_개발품목_1[[제품명]:[사양]],5,0),"")</f>
        <v/>
      </c>
      <c r="J225" s="100" t="str">
        <f>IFERROR(VLOOKUP($C225,[5]!BOM_개발품목_1[[제품명]:[사양]],7,0),"")</f>
        <v/>
      </c>
    </row>
    <row r="226" spans="1:13">
      <c r="A226" s="100" t="str">
        <f t="shared" si="3"/>
        <v>_20250512</v>
      </c>
      <c r="B226" s="103">
        <v>45789</v>
      </c>
      <c r="C226" s="100" t="s">
        <v>596</v>
      </c>
      <c r="D226" t="s">
        <v>877</v>
      </c>
      <c r="E226">
        <v>150</v>
      </c>
      <c r="F226" s="103">
        <v>45792</v>
      </c>
      <c r="G226" s="100" t="str">
        <f>IFERROR(VLOOKUP($C226,[5]!BOM_개발품목_1[[제품명]:[사양]],4,0),"")</f>
        <v/>
      </c>
      <c r="H226" s="100" t="str">
        <f>IFERROR(VLOOKUP($C226,[5]!BOM_개발품목_1[[제품명]:[사양]],2,0),"")</f>
        <v/>
      </c>
      <c r="I226" s="100" t="str">
        <f>IFERROR(VLOOKUP($C226,[5]!BOM_개발품목_1[[제품명]:[사양]],5,0),"")</f>
        <v/>
      </c>
      <c r="J226" s="100" t="str">
        <f>IFERROR(VLOOKUP($C226,[5]!BOM_개발품목_1[[제품명]:[사양]],7,0),"")</f>
        <v/>
      </c>
    </row>
    <row r="227" spans="1:13">
      <c r="A227" s="100" t="str">
        <f t="shared" si="3"/>
        <v>_20250512</v>
      </c>
      <c r="B227" s="103">
        <v>45789</v>
      </c>
      <c r="C227" s="100" t="s">
        <v>597</v>
      </c>
      <c r="D227" t="s">
        <v>877</v>
      </c>
      <c r="E227">
        <v>150</v>
      </c>
      <c r="F227" s="103">
        <v>45792</v>
      </c>
      <c r="G227" s="100" t="str">
        <f>IFERROR(VLOOKUP($C227,[5]!BOM_개발품목_1[[제품명]:[사양]],4,0),"")</f>
        <v/>
      </c>
      <c r="H227" s="100" t="str">
        <f>IFERROR(VLOOKUP($C227,[5]!BOM_개발품목_1[[제품명]:[사양]],2,0),"")</f>
        <v/>
      </c>
      <c r="I227" s="100" t="str">
        <f>IFERROR(VLOOKUP($C227,[5]!BOM_개발품목_1[[제품명]:[사양]],5,0),"")</f>
        <v/>
      </c>
      <c r="J227" s="100" t="str">
        <f>IFERROR(VLOOKUP($C227,[5]!BOM_개발품목_1[[제품명]:[사양]],7,0),"")</f>
        <v/>
      </c>
    </row>
    <row r="228" spans="1:13">
      <c r="A228" s="100" t="str">
        <f t="shared" si="3"/>
        <v>_20250515</v>
      </c>
      <c r="B228" s="103">
        <v>45792</v>
      </c>
      <c r="C228" s="100" t="s">
        <v>878</v>
      </c>
      <c r="F228" s="103">
        <v>45792</v>
      </c>
      <c r="G228" s="100" t="str">
        <f>IFERROR(VLOOKUP($C228,[5]!BOM_개발품목_1[[제품명]:[사양]],4,0),"")</f>
        <v/>
      </c>
      <c r="H228" s="100" t="str">
        <f>IFERROR(VLOOKUP($C228,[5]!BOM_개발품목_1[[제품명]:[사양]],2,0),"")</f>
        <v/>
      </c>
      <c r="I228" s="100" t="str">
        <f>IFERROR(VLOOKUP($C228,[5]!BOM_개발품목_1[[제품명]:[사양]],5,0),"")</f>
        <v/>
      </c>
      <c r="J228" s="100" t="str">
        <f>IFERROR(VLOOKUP($C228,[5]!BOM_개발품목_1[[제품명]:[사양]],7,0),"")</f>
        <v/>
      </c>
    </row>
    <row r="229" spans="1:13">
      <c r="A229" s="100" t="str">
        <f t="shared" si="3"/>
        <v>_20250519</v>
      </c>
      <c r="B229" s="103">
        <v>45796</v>
      </c>
      <c r="C229" s="100" t="s">
        <v>879</v>
      </c>
      <c r="D229" t="s">
        <v>880</v>
      </c>
      <c r="E229">
        <v>100</v>
      </c>
      <c r="F229" s="103">
        <v>45797</v>
      </c>
      <c r="G229" s="100" t="str">
        <f>IFERROR(VLOOKUP($C229,[5]!BOM_개발품목_1[[제품명]:[사양]],4,0),"")</f>
        <v/>
      </c>
      <c r="H229" s="100" t="str">
        <f>IFERROR(VLOOKUP($C229,[5]!BOM_개발품목_1[[제품명]:[사양]],2,0),"")</f>
        <v/>
      </c>
      <c r="I229" s="100" t="str">
        <f>IFERROR(VLOOKUP($C229,[5]!BOM_개발품목_1[[제품명]:[사양]],5,0),"")</f>
        <v/>
      </c>
      <c r="J229" s="100" t="str">
        <f>IFERROR(VLOOKUP($C229,[5]!BOM_개발품목_1[[제품명]:[사양]],7,0),"")</f>
        <v/>
      </c>
    </row>
    <row r="230" spans="1:13">
      <c r="A230" s="100" t="str">
        <f t="shared" si="3"/>
        <v>_20250519</v>
      </c>
      <c r="B230" s="103">
        <v>45796</v>
      </c>
      <c r="C230" s="100" t="s">
        <v>881</v>
      </c>
      <c r="D230" t="s">
        <v>882</v>
      </c>
      <c r="E230">
        <v>100</v>
      </c>
      <c r="F230" s="103">
        <v>45797</v>
      </c>
      <c r="G230" s="100" t="str">
        <f>IFERROR(VLOOKUP($C230,[5]!BOM_개발품목_1[[제품명]:[사양]],4,0),"")</f>
        <v/>
      </c>
      <c r="H230" s="100" t="str">
        <f>IFERROR(VLOOKUP($C230,[5]!BOM_개발품목_1[[제품명]:[사양]],2,0),"")</f>
        <v/>
      </c>
      <c r="I230" s="100" t="str">
        <f>IFERROR(VLOOKUP($C230,[5]!BOM_개발품목_1[[제품명]:[사양]],5,0),"")</f>
        <v/>
      </c>
      <c r="J230" s="100" t="str">
        <f>IFERROR(VLOOKUP($C230,[5]!BOM_개발품목_1[[제품명]:[사양]],7,0),"")</f>
        <v/>
      </c>
    </row>
    <row r="231" spans="1:13">
      <c r="A231" s="100" t="str">
        <f t="shared" si="3"/>
        <v>_20250522</v>
      </c>
      <c r="B231" s="103">
        <v>45799</v>
      </c>
      <c r="C231" s="100" t="s">
        <v>879</v>
      </c>
      <c r="D231" t="s">
        <v>883</v>
      </c>
      <c r="E231">
        <v>100</v>
      </c>
      <c r="F231" s="103">
        <v>45797</v>
      </c>
      <c r="G231" s="100" t="str">
        <f>IFERROR(VLOOKUP($C231,[5]!BOM_개발품목_1[[제품명]:[사양]],4,0),"")</f>
        <v/>
      </c>
      <c r="H231" s="100" t="str">
        <f>IFERROR(VLOOKUP($C231,[5]!BOM_개발품목_1[[제품명]:[사양]],2,0),"")</f>
        <v/>
      </c>
      <c r="I231" s="100" t="str">
        <f>IFERROR(VLOOKUP($C231,[5]!BOM_개발품목_1[[제품명]:[사양]],5,0),"")</f>
        <v/>
      </c>
      <c r="J231" s="100" t="str">
        <f>IFERROR(VLOOKUP($C231,[5]!BOM_개발품목_1[[제품명]:[사양]],7,0),"")</f>
        <v/>
      </c>
    </row>
    <row r="232" spans="1:13">
      <c r="A232" s="100" t="str">
        <f t="shared" si="3"/>
        <v>_20250522</v>
      </c>
      <c r="B232" s="103">
        <v>45799</v>
      </c>
      <c r="C232" s="100" t="s">
        <v>881</v>
      </c>
      <c r="D232" t="s">
        <v>883</v>
      </c>
      <c r="E232">
        <v>100</v>
      </c>
      <c r="F232" s="103">
        <v>45797</v>
      </c>
      <c r="G232" s="100" t="str">
        <f>IFERROR(VLOOKUP($C232,[5]!BOM_개발품목_1[[제품명]:[사양]],4,0),"")</f>
        <v/>
      </c>
      <c r="H232" s="100" t="str">
        <f>IFERROR(VLOOKUP($C232,[5]!BOM_개발품목_1[[제품명]:[사양]],2,0),"")</f>
        <v/>
      </c>
      <c r="I232" s="100" t="str">
        <f>IFERROR(VLOOKUP($C232,[5]!BOM_개발품목_1[[제품명]:[사양]],5,0),"")</f>
        <v/>
      </c>
      <c r="J232" s="100" t="str">
        <f>IFERROR(VLOOKUP($C232,[5]!BOM_개발품목_1[[제품명]:[사양]],7,0),"")</f>
        <v/>
      </c>
    </row>
    <row r="233" spans="1:13">
      <c r="A233" s="100" t="str">
        <f t="shared" si="3"/>
        <v>_20250522</v>
      </c>
      <c r="B233" s="103">
        <v>45799</v>
      </c>
      <c r="C233" s="119" t="s">
        <v>884</v>
      </c>
      <c r="D233" t="s">
        <v>885</v>
      </c>
      <c r="E233">
        <v>100</v>
      </c>
      <c r="F233" s="103">
        <v>45803</v>
      </c>
      <c r="G233" s="100" t="str">
        <f>IFERROR(VLOOKUP($C233,[5]!BOM_개발품목_1[[제품명]:[사양]],4,0),"")</f>
        <v/>
      </c>
      <c r="H233" s="100" t="str">
        <f>IFERROR(VLOOKUP($C233,[5]!BOM_개발품목_1[[제품명]:[사양]],2,0),"")</f>
        <v/>
      </c>
      <c r="I233" s="100" t="str">
        <f>IFERROR(VLOOKUP($C233,[5]!BOM_개발품목_1[[제품명]:[사양]],5,0),"")</f>
        <v/>
      </c>
      <c r="J233" s="100" t="str">
        <f>IFERROR(VLOOKUP($C233,[5]!BOM_개발품목_1[[제품명]:[사양]],7,0),"")</f>
        <v/>
      </c>
      <c r="M233" t="s">
        <v>886</v>
      </c>
    </row>
    <row r="234" spans="1:13">
      <c r="A234" s="100" t="str">
        <f t="shared" si="3"/>
        <v>_20250522</v>
      </c>
      <c r="B234" s="103">
        <v>45799</v>
      </c>
      <c r="C234" s="111" t="s">
        <v>887</v>
      </c>
      <c r="D234" t="s">
        <v>888</v>
      </c>
      <c r="E234">
        <v>100</v>
      </c>
      <c r="F234" s="103">
        <v>45803</v>
      </c>
      <c r="G234" s="100" t="str">
        <f>IFERROR(VLOOKUP($C234,[5]!BOM_개발품목_1[[제품명]:[사양]],4,0),"")</f>
        <v/>
      </c>
      <c r="H234" s="100" t="str">
        <f>IFERROR(VLOOKUP($C234,[5]!BOM_개발품목_1[[제품명]:[사양]],2,0),"")</f>
        <v/>
      </c>
      <c r="I234" s="100" t="str">
        <f>IFERROR(VLOOKUP($C234,[5]!BOM_개발품목_1[[제품명]:[사양]],5,0),"")</f>
        <v/>
      </c>
      <c r="J234" s="100" t="str">
        <f>IFERROR(VLOOKUP($C234,[5]!BOM_개발품목_1[[제품명]:[사양]],7,0),"")</f>
        <v/>
      </c>
      <c r="M234" t="s">
        <v>889</v>
      </c>
    </row>
    <row r="235" spans="1:13">
      <c r="A235" s="100" t="str">
        <f t="shared" si="3"/>
        <v>_20250522</v>
      </c>
      <c r="B235" s="103">
        <v>45799</v>
      </c>
      <c r="C235" s="100" t="s">
        <v>841</v>
      </c>
      <c r="D235" t="s">
        <v>890</v>
      </c>
      <c r="E235">
        <v>100</v>
      </c>
      <c r="F235" s="103">
        <v>45805</v>
      </c>
      <c r="G235" s="100" t="str">
        <f>IFERROR(VLOOKUP($C235,[5]!BOM_개발품목_1[[제품명]:[사양]],4,0),"")</f>
        <v/>
      </c>
      <c r="H235" s="100" t="str">
        <f>IFERROR(VLOOKUP($C235,[5]!BOM_개발품목_1[[제품명]:[사양]],2,0),"")</f>
        <v/>
      </c>
      <c r="I235" s="100" t="str">
        <f>IFERROR(VLOOKUP($C235,[5]!BOM_개발품목_1[[제품명]:[사양]],5,0),"")</f>
        <v/>
      </c>
      <c r="J235" s="100" t="str">
        <f>IFERROR(VLOOKUP($C235,[5]!BOM_개발품목_1[[제품명]:[사양]],7,0),"")</f>
        <v/>
      </c>
    </row>
    <row r="236" spans="1:13">
      <c r="A236" s="100" t="str">
        <f t="shared" si="3"/>
        <v>_20250522</v>
      </c>
      <c r="B236" s="101">
        <v>45799</v>
      </c>
      <c r="C236" s="100" t="s">
        <v>891</v>
      </c>
      <c r="D236" t="s">
        <v>892</v>
      </c>
      <c r="E236">
        <v>200</v>
      </c>
      <c r="F236" s="103">
        <v>45800</v>
      </c>
      <c r="G236" s="100" t="str">
        <f>IFERROR(VLOOKUP($C236,[5]!BOM_개발품목_1[[제품명]:[사양]],4,0),"")</f>
        <v/>
      </c>
      <c r="H236" s="100" t="str">
        <f>IFERROR(VLOOKUP($C236,[5]!BOM_개발품목_1[[제품명]:[사양]],2,0),"")</f>
        <v/>
      </c>
      <c r="I236" s="100" t="str">
        <f>IFERROR(VLOOKUP($C236,[5]!BOM_개발품목_1[[제품명]:[사양]],5,0),"")</f>
        <v/>
      </c>
      <c r="J236" s="100" t="str">
        <f>IFERROR(VLOOKUP($C236,[5]!BOM_개발품목_1[[제품명]:[사양]],7,0),"")</f>
        <v/>
      </c>
    </row>
    <row r="237" spans="1:13">
      <c r="A237" s="100" t="str">
        <f t="shared" si="3"/>
        <v>SI0783_20250522</v>
      </c>
      <c r="B237" s="101">
        <v>45799</v>
      </c>
      <c r="C237" s="100" t="s">
        <v>893</v>
      </c>
      <c r="D237" t="s">
        <v>894</v>
      </c>
      <c r="E237">
        <v>200</v>
      </c>
      <c r="F237" s="103">
        <v>45800</v>
      </c>
      <c r="G237" s="100" t="s">
        <v>895</v>
      </c>
      <c r="H237" s="100"/>
      <c r="I237" s="100"/>
      <c r="J237" s="100"/>
    </row>
    <row r="238" spans="1:13">
      <c r="A238" s="100" t="str">
        <f t="shared" si="3"/>
        <v>_20250602</v>
      </c>
      <c r="B238" s="101">
        <v>45810</v>
      </c>
      <c r="C238" s="100" t="s">
        <v>776</v>
      </c>
      <c r="D238" t="s">
        <v>896</v>
      </c>
      <c r="E238">
        <v>300</v>
      </c>
      <c r="F238" s="103">
        <v>45775</v>
      </c>
      <c r="G238" s="100" t="str">
        <f>IFERROR(VLOOKUP($C238,[5]!BOM_개발품목_1[[제품명]:[사양]],4,0),"")</f>
        <v/>
      </c>
      <c r="H238" s="100" t="str">
        <f>IFERROR(VLOOKUP($C238,[5]!BOM_개발품목_1[[제품명]:[사양]],2,0),"")</f>
        <v/>
      </c>
      <c r="I238" s="100" t="str">
        <f>IFERROR(VLOOKUP($C238,[5]!BOM_개발품목_1[[제품명]:[사양]],5,0),"")</f>
        <v/>
      </c>
      <c r="J238" s="100" t="str">
        <f>IFERROR(VLOOKUP($C238,[5]!BOM_개발품목_1[[제품명]:[사양]],7,0),"")</f>
        <v/>
      </c>
    </row>
    <row r="239" spans="1:13">
      <c r="A239" s="100" t="str">
        <f t="shared" si="3"/>
        <v>_20250604</v>
      </c>
      <c r="B239" s="101">
        <v>45812</v>
      </c>
      <c r="C239" s="100" t="s">
        <v>816</v>
      </c>
      <c r="D239" t="s">
        <v>897</v>
      </c>
      <c r="E239">
        <v>100</v>
      </c>
      <c r="G239" s="100" t="str">
        <f>IFERROR(VLOOKUP($C239,[5]!BOM_개발품목_1[[제품명]:[사양]],4,0),"")</f>
        <v/>
      </c>
      <c r="H239" s="100" t="str">
        <f>IFERROR(VLOOKUP($C239,[5]!BOM_개발품목_1[[제품명]:[사양]],2,0),"")</f>
        <v/>
      </c>
      <c r="I239" s="100" t="str">
        <f>IFERROR(VLOOKUP($C239,[5]!BOM_개발품목_1[[제품명]:[사양]],5,0),"")</f>
        <v/>
      </c>
      <c r="J239" s="100" t="str">
        <f>IFERROR(VLOOKUP($C239,[5]!BOM_개발품목_1[[제품명]:[사양]],7,0),"")</f>
        <v/>
      </c>
    </row>
    <row r="240" spans="1:13">
      <c r="A240" s="100" t="str">
        <f t="shared" si="3"/>
        <v>_20250604</v>
      </c>
      <c r="B240" s="101">
        <v>45812</v>
      </c>
      <c r="C240" s="120" t="s">
        <v>884</v>
      </c>
      <c r="D240" t="s">
        <v>898</v>
      </c>
      <c r="E240">
        <v>100</v>
      </c>
      <c r="F240" s="103">
        <v>45803</v>
      </c>
      <c r="G240" s="100" t="str">
        <f>IFERROR(VLOOKUP($C240,[5]!BOM_개발품목_1[[제품명]:[사양]],4,0),"")</f>
        <v/>
      </c>
      <c r="H240" s="100" t="str">
        <f>IFERROR(VLOOKUP($C240,[5]!BOM_개발품목_1[[제품명]:[사양]],2,0),"")</f>
        <v/>
      </c>
      <c r="I240" s="100" t="str">
        <f>IFERROR(VLOOKUP($C240,[5]!BOM_개발품목_1[[제품명]:[사양]],5,0),"")</f>
        <v/>
      </c>
      <c r="J240" s="100" t="str">
        <f>IFERROR(VLOOKUP($C240,[5]!BOM_개발품목_1[[제품명]:[사양]],7,0),"")</f>
        <v/>
      </c>
    </row>
    <row r="241" spans="1:10">
      <c r="A241" s="100" t="str">
        <f t="shared" si="3"/>
        <v>_20250604</v>
      </c>
      <c r="B241" s="101">
        <v>45812</v>
      </c>
      <c r="C241" s="120" t="s">
        <v>887</v>
      </c>
      <c r="D241" t="s">
        <v>898</v>
      </c>
      <c r="E241">
        <v>100</v>
      </c>
      <c r="F241" s="103">
        <v>45803</v>
      </c>
      <c r="G241" s="100" t="str">
        <f>IFERROR(VLOOKUP($C241,[5]!BOM_개발품목_1[[제품명]:[사양]],4,0),"")</f>
        <v/>
      </c>
      <c r="H241" s="100" t="str">
        <f>IFERROR(VLOOKUP($C241,[5]!BOM_개발품목_1[[제품명]:[사양]],2,0),"")</f>
        <v/>
      </c>
      <c r="I241" s="100" t="str">
        <f>IFERROR(VLOOKUP($C241,[5]!BOM_개발품목_1[[제품명]:[사양]],5,0),"")</f>
        <v/>
      </c>
      <c r="J241" s="100" t="str">
        <f>IFERROR(VLOOKUP($C241,[5]!BOM_개발품목_1[[제품명]:[사양]],7,0),"")</f>
        <v/>
      </c>
    </row>
    <row r="242" spans="1:10">
      <c r="A242" s="100" t="str">
        <f t="shared" si="3"/>
        <v>_20250604</v>
      </c>
      <c r="B242" s="101">
        <v>45812</v>
      </c>
      <c r="C242" s="100" t="s">
        <v>776</v>
      </c>
      <c r="D242" t="s">
        <v>899</v>
      </c>
      <c r="G242" s="100" t="str">
        <f>IFERROR(VLOOKUP($C242,[5]!BOM_개발품목_1[[제품명]:[사양]],4,0),"")</f>
        <v/>
      </c>
      <c r="H242" s="100" t="str">
        <f>IFERROR(VLOOKUP($C242,[5]!BOM_개발품목_1[[제품명]:[사양]],2,0),"")</f>
        <v/>
      </c>
      <c r="I242" s="100" t="str">
        <f>IFERROR(VLOOKUP($C242,[5]!BOM_개발품목_1[[제품명]:[사양]],5,0),"")</f>
        <v/>
      </c>
      <c r="J242" s="100" t="str">
        <f>IFERROR(VLOOKUP($C242,[5]!BOM_개발품목_1[[제품명]:[사양]],7,0),"")</f>
        <v/>
      </c>
    </row>
    <row r="243" spans="1:10">
      <c r="A243" s="100" t="str">
        <f t="shared" si="3"/>
        <v>_20250605</v>
      </c>
      <c r="B243" s="101">
        <v>45813</v>
      </c>
      <c r="C243" s="100" t="s">
        <v>864</v>
      </c>
      <c r="D243" t="s">
        <v>900</v>
      </c>
      <c r="E243">
        <v>200</v>
      </c>
      <c r="F243" s="103">
        <v>45818</v>
      </c>
      <c r="G243" s="100" t="str">
        <f>IFERROR(VLOOKUP($C243,[5]!BOM_개발품목_1[[제품명]:[사양]],4,0),"")</f>
        <v/>
      </c>
      <c r="H243" s="100" t="str">
        <f>IFERROR(VLOOKUP($C243,[5]!BOM_개발품목_1[[제품명]:[사양]],2,0),"")</f>
        <v/>
      </c>
      <c r="I243" s="100" t="str">
        <f>IFERROR(VLOOKUP($C243,[5]!BOM_개발품목_1[[제품명]:[사양]],5,0),"")</f>
        <v/>
      </c>
      <c r="J243" s="100" t="str">
        <f>IFERROR(VLOOKUP($C243,[5]!BOM_개발품목_1[[제품명]:[사양]],7,0),"")</f>
        <v/>
      </c>
    </row>
    <row r="244" spans="1:10">
      <c r="A244" s="100" t="str">
        <f t="shared" si="3"/>
        <v>_20250605</v>
      </c>
      <c r="B244" s="101">
        <v>45813</v>
      </c>
      <c r="C244" s="100" t="s">
        <v>868</v>
      </c>
      <c r="D244" t="s">
        <v>901</v>
      </c>
      <c r="E244">
        <v>200</v>
      </c>
      <c r="F244" s="103">
        <v>45818</v>
      </c>
      <c r="G244" s="100" t="str">
        <f>IFERROR(VLOOKUP($C244,[5]!BOM_개발품목_1[[제품명]:[사양]],4,0),"")</f>
        <v/>
      </c>
      <c r="H244" s="100" t="str">
        <f>IFERROR(VLOOKUP($C244,[5]!BOM_개발품목_1[[제품명]:[사양]],2,0),"")</f>
        <v/>
      </c>
      <c r="I244" s="100" t="str">
        <f>IFERROR(VLOOKUP($C244,[5]!BOM_개발품목_1[[제품명]:[사양]],5,0),"")</f>
        <v/>
      </c>
      <c r="J244" s="100" t="str">
        <f>IFERROR(VLOOKUP($C244,[5]!BOM_개발품목_1[[제품명]:[사양]],7,0),"")</f>
        <v/>
      </c>
    </row>
    <row r="245" spans="1:10">
      <c r="A245" s="100" t="str">
        <f t="shared" si="3"/>
        <v>_19000100</v>
      </c>
      <c r="B245" s="99"/>
      <c r="C245" s="100"/>
      <c r="D245" t="s">
        <v>902</v>
      </c>
      <c r="E245">
        <v>100</v>
      </c>
      <c r="G245" s="100" t="str">
        <f>IFERROR(VLOOKUP($C245,[5]!BOM_개발품목_1[[제품명]:[사양]],4,0),"")</f>
        <v/>
      </c>
      <c r="H245" s="100" t="str">
        <f>IFERROR(VLOOKUP($C245,[5]!BOM_개발품목_1[[제품명]:[사양]],2,0),"")</f>
        <v/>
      </c>
      <c r="I245" s="100" t="str">
        <f>IFERROR(VLOOKUP($C245,[5]!BOM_개발품목_1[[제품명]:[사양]],5,0),"")</f>
        <v/>
      </c>
      <c r="J245" s="100" t="str">
        <f>IFERROR(VLOOKUP($C245,[5]!BOM_개발품목_1[[제품명]:[사양]],7,0),"")</f>
        <v/>
      </c>
    </row>
    <row r="246" spans="1:10">
      <c r="A246" s="100" t="str">
        <f t="shared" si="3"/>
        <v>_20250606</v>
      </c>
      <c r="B246" s="101">
        <v>45814</v>
      </c>
      <c r="C246" s="100" t="s">
        <v>847</v>
      </c>
      <c r="D246" t="s">
        <v>903</v>
      </c>
      <c r="G246" s="100" t="str">
        <f>IFERROR(VLOOKUP($C246,[5]!BOM_개발품목_1[[제품명]:[사양]],4,0),"")</f>
        <v/>
      </c>
      <c r="H246" s="100" t="str">
        <f>IFERROR(VLOOKUP($C246,[5]!BOM_개발품목_1[[제품명]:[사양]],2,0),"")</f>
        <v/>
      </c>
      <c r="I246" s="100" t="str">
        <f>IFERROR(VLOOKUP($C246,[5]!BOM_개발품목_1[[제품명]:[사양]],5,0),"")</f>
        <v/>
      </c>
      <c r="J246" s="100" t="str">
        <f>IFERROR(VLOOKUP($C246,[5]!BOM_개발품목_1[[제품명]:[사양]],7,0),"")</f>
        <v/>
      </c>
    </row>
    <row r="247" spans="1:10">
      <c r="A247" s="100" t="str">
        <f t="shared" si="3"/>
        <v>_20250606</v>
      </c>
      <c r="B247" s="101">
        <v>45814</v>
      </c>
      <c r="C247" s="100" t="s">
        <v>849</v>
      </c>
      <c r="D247" t="s">
        <v>903</v>
      </c>
      <c r="G247" s="100" t="str">
        <f>IFERROR(VLOOKUP($C247,[5]!BOM_개발품목_1[[제품명]:[사양]],4,0),"")</f>
        <v/>
      </c>
      <c r="H247" s="100" t="str">
        <f>IFERROR(VLOOKUP($C247,[5]!BOM_개발품목_1[[제품명]:[사양]],2,0),"")</f>
        <v/>
      </c>
      <c r="I247" s="100" t="str">
        <f>IFERROR(VLOOKUP($C247,[5]!BOM_개발품목_1[[제품명]:[사양]],5,0),"")</f>
        <v/>
      </c>
      <c r="J247" s="100" t="str">
        <f>IFERROR(VLOOKUP($C247,[5]!BOM_개발품목_1[[제품명]:[사양]],7,0),"")</f>
        <v/>
      </c>
    </row>
    <row r="248" spans="1:10">
      <c r="A248" s="100" t="str">
        <f t="shared" si="3"/>
        <v>_20250609</v>
      </c>
      <c r="B248" s="101">
        <v>45817</v>
      </c>
      <c r="C248" s="100" t="s">
        <v>881</v>
      </c>
      <c r="D248" t="s">
        <v>904</v>
      </c>
      <c r="E248">
        <v>100</v>
      </c>
      <c r="F248" s="103"/>
      <c r="G248" s="100" t="str">
        <f>IFERROR(VLOOKUP($C248,[5]!BOM_개발품목_1[[제품명]:[사양]],4,0),"")</f>
        <v/>
      </c>
      <c r="H248" s="100" t="str">
        <f>IFERROR(VLOOKUP($C248,[5]!BOM_개발품목_1[[제품명]:[사양]],2,0),"")</f>
        <v/>
      </c>
      <c r="I248" s="100" t="str">
        <f>IFERROR(VLOOKUP($C248,[5]!BOM_개발품목_1[[제품명]:[사양]],5,0),"")</f>
        <v/>
      </c>
      <c r="J248" s="100" t="str">
        <f>IFERROR(VLOOKUP($C248,[5]!BOM_개발품목_1[[제품명]:[사양]],7,0),"")</f>
        <v/>
      </c>
    </row>
    <row r="249" spans="1:10">
      <c r="A249" s="100" t="str">
        <f t="shared" si="3"/>
        <v>_20250613</v>
      </c>
      <c r="B249" s="101">
        <v>45821</v>
      </c>
      <c r="C249" s="100" t="s">
        <v>847</v>
      </c>
      <c r="D249" t="s">
        <v>905</v>
      </c>
      <c r="G249" s="100" t="str">
        <f>IFERROR(VLOOKUP($C249,[5]!BOM_개발품목_1[[제품명]:[사양]],4,0),"")</f>
        <v/>
      </c>
      <c r="H249" s="100" t="str">
        <f>IFERROR(VLOOKUP($C249,[5]!BOM_개발품목_1[[제품명]:[사양]],2,0),"")</f>
        <v/>
      </c>
      <c r="I249" s="100" t="str">
        <f>IFERROR(VLOOKUP($C249,[5]!BOM_개발품목_1[[제품명]:[사양]],5,0),"")</f>
        <v/>
      </c>
      <c r="J249" s="100" t="str">
        <f>IFERROR(VLOOKUP($C249,[5]!BOM_개발품목_1[[제품명]:[사양]],7,0),"")</f>
        <v/>
      </c>
    </row>
    <row r="250" spans="1:10">
      <c r="A250" s="100" t="str">
        <f t="shared" si="3"/>
        <v>_20250613</v>
      </c>
      <c r="B250" s="101">
        <v>45821</v>
      </c>
      <c r="C250" s="100" t="s">
        <v>849</v>
      </c>
      <c r="D250" t="s">
        <v>906</v>
      </c>
      <c r="G250" s="100" t="str">
        <f>IFERROR(VLOOKUP($C250,[5]!BOM_개발품목_1[[제품명]:[사양]],4,0),"")</f>
        <v/>
      </c>
      <c r="H250" s="100" t="str">
        <f>IFERROR(VLOOKUP($C250,[5]!BOM_개발품목_1[[제품명]:[사양]],2,0),"")</f>
        <v/>
      </c>
      <c r="I250" s="100" t="str">
        <f>IFERROR(VLOOKUP($C250,[5]!BOM_개발품목_1[[제품명]:[사양]],5,0),"")</f>
        <v/>
      </c>
      <c r="J250" s="100" t="str">
        <f>IFERROR(VLOOKUP($C250,[5]!BOM_개발품목_1[[제품명]:[사양]],7,0),"")</f>
        <v/>
      </c>
    </row>
    <row r="251" spans="1:10">
      <c r="A251" s="100" t="str">
        <f t="shared" si="3"/>
        <v>_20250618</v>
      </c>
      <c r="B251" s="101">
        <v>45826</v>
      </c>
      <c r="C251" s="100" t="s">
        <v>881</v>
      </c>
      <c r="D251" t="s">
        <v>907</v>
      </c>
      <c r="E251">
        <v>100</v>
      </c>
      <c r="F251" s="103"/>
      <c r="G251" s="100" t="str">
        <f>IFERROR(VLOOKUP($C251,[5]!BOM_개발품목_1[[제품명]:[사양]],4,0),"")</f>
        <v/>
      </c>
      <c r="H251" s="100" t="str">
        <f>IFERROR(VLOOKUP($C251,[5]!BOM_개발품목_1[[제품명]:[사양]],2,0),"")</f>
        <v/>
      </c>
      <c r="I251" s="100" t="str">
        <f>IFERROR(VLOOKUP($C251,[5]!BOM_개발품목_1[[제품명]:[사양]],5,0),"")</f>
        <v/>
      </c>
      <c r="J251" s="100" t="str">
        <f>IFERROR(VLOOKUP($C251,[5]!BOM_개발품목_1[[제품명]:[사양]],7,0),"")</f>
        <v/>
      </c>
    </row>
    <row r="252" spans="1:10">
      <c r="A252" s="100" t="str">
        <f t="shared" si="3"/>
        <v>_20250618</v>
      </c>
      <c r="B252" s="101">
        <v>45826</v>
      </c>
      <c r="C252" s="100" t="s">
        <v>849</v>
      </c>
      <c r="D252" t="s">
        <v>908</v>
      </c>
      <c r="E252">
        <v>150</v>
      </c>
      <c r="G252" s="100" t="str">
        <f>IFERROR(VLOOKUP($C252,[5]!BOM_개발품목_1[[제품명]:[사양]],4,0),"")</f>
        <v/>
      </c>
      <c r="H252" s="100" t="str">
        <f>IFERROR(VLOOKUP($C252,[5]!BOM_개발품목_1[[제품명]:[사양]],2,0),"")</f>
        <v/>
      </c>
      <c r="I252" s="100" t="str">
        <f>IFERROR(VLOOKUP($C252,[5]!BOM_개발품목_1[[제품명]:[사양]],5,0),"")</f>
        <v/>
      </c>
      <c r="J252" s="100" t="str">
        <f>IFERROR(VLOOKUP($C252,[5]!BOM_개발품목_1[[제품명]:[사양]],7,0),"")</f>
        <v/>
      </c>
    </row>
    <row r="253" spans="1:10">
      <c r="A253" s="100" t="str">
        <f t="shared" si="3"/>
        <v>_20250623</v>
      </c>
      <c r="B253" s="101">
        <v>45831</v>
      </c>
      <c r="C253" s="100" t="s">
        <v>847</v>
      </c>
      <c r="D253" t="s">
        <v>909</v>
      </c>
      <c r="E253">
        <v>150</v>
      </c>
      <c r="G253" s="100" t="str">
        <f>IFERROR(VLOOKUP($C253,[5]!BOM_개발품목_1[[제품명]:[사양]],4,0),"")</f>
        <v/>
      </c>
      <c r="H253" s="100" t="str">
        <f>IFERROR(VLOOKUP($C253,[5]!BOM_개발품목_1[[제품명]:[사양]],2,0),"")</f>
        <v/>
      </c>
      <c r="I253" s="100" t="str">
        <f>IFERROR(VLOOKUP($C253,[5]!BOM_개발품목_1[[제품명]:[사양]],5,0),"")</f>
        <v/>
      </c>
      <c r="J253" s="100" t="str">
        <f>IFERROR(VLOOKUP($C253,[5]!BOM_개발품목_1[[제품명]:[사양]],7,0),"")</f>
        <v/>
      </c>
    </row>
    <row r="254" spans="1:10">
      <c r="A254" s="100" t="str">
        <f t="shared" si="3"/>
        <v>_20250618</v>
      </c>
      <c r="B254" s="103">
        <v>45826</v>
      </c>
      <c r="C254" s="100" t="s">
        <v>910</v>
      </c>
      <c r="D254" t="s">
        <v>911</v>
      </c>
      <c r="E254">
        <v>100</v>
      </c>
      <c r="G254" s="100" t="str">
        <f>IFERROR(VLOOKUP($C254,[5]!BOM_개발품목_1[[제품명]:[사양]],4,0),"")</f>
        <v/>
      </c>
      <c r="H254" s="100" t="str">
        <f>IFERROR(VLOOKUP($C254,[5]!BOM_개발품목_1[[제품명]:[사양]],2,0),"")</f>
        <v/>
      </c>
      <c r="I254" s="100" t="str">
        <f>IFERROR(VLOOKUP($C254,[5]!BOM_개발품목_1[[제품명]:[사양]],5,0),"")</f>
        <v/>
      </c>
      <c r="J254" s="100" t="str">
        <f>IFERROR(VLOOKUP($C254,[5]!BOM_개발품목_1[[제품명]:[사양]],7,0),"")</f>
        <v/>
      </c>
    </row>
    <row r="255" spans="1:10">
      <c r="A255" s="100" t="str">
        <f t="shared" si="3"/>
        <v>_20250623</v>
      </c>
      <c r="B255" s="101">
        <v>45831</v>
      </c>
      <c r="C255" s="100" t="s">
        <v>912</v>
      </c>
      <c r="D255" t="s">
        <v>913</v>
      </c>
      <c r="E255">
        <v>50</v>
      </c>
      <c r="G255" s="100" t="str">
        <f>IFERROR(VLOOKUP($C255,[5]!BOM_개발품목_1[[제품명]:[사양]],4,0),"")</f>
        <v/>
      </c>
      <c r="H255" s="100" t="str">
        <f>IFERROR(VLOOKUP($C255,[5]!BOM_개발품목_1[[제품명]:[사양]],2,0),"")</f>
        <v/>
      </c>
      <c r="I255" s="100" t="str">
        <f>IFERROR(VLOOKUP($C255,[5]!BOM_개발품목_1[[제품명]:[사양]],5,0),"")</f>
        <v/>
      </c>
      <c r="J255" s="100" t="str">
        <f>IFERROR(VLOOKUP($C255,[5]!BOM_개발품목_1[[제품명]:[사양]],7,0),"")</f>
        <v/>
      </c>
    </row>
    <row r="256" spans="1:10">
      <c r="A256" s="100" t="str">
        <f t="shared" si="3"/>
        <v>_20250623</v>
      </c>
      <c r="B256" s="101">
        <v>45831</v>
      </c>
      <c r="C256" s="100" t="s">
        <v>914</v>
      </c>
      <c r="D256" t="s">
        <v>913</v>
      </c>
      <c r="E256">
        <v>50</v>
      </c>
      <c r="G256" s="100" t="str">
        <f>IFERROR(VLOOKUP($C256,[5]!BOM_개발품목_1[[제품명]:[사양]],4,0),"")</f>
        <v/>
      </c>
      <c r="H256" s="100" t="str">
        <f>IFERROR(VLOOKUP($C256,[5]!BOM_개발품목_1[[제품명]:[사양]],2,0),"")</f>
        <v/>
      </c>
      <c r="I256" s="100" t="str">
        <f>IFERROR(VLOOKUP($C256,[5]!BOM_개발품목_1[[제품명]:[사양]],5,0),"")</f>
        <v/>
      </c>
      <c r="J256" s="100" t="str">
        <f>IFERROR(VLOOKUP($C256,[5]!BOM_개발품목_1[[제품명]:[사양]],7,0),"")</f>
        <v/>
      </c>
    </row>
    <row r="257" spans="1:10">
      <c r="A257" s="100" t="str">
        <f t="shared" si="3"/>
        <v>_20250623</v>
      </c>
      <c r="B257" s="101">
        <v>45831</v>
      </c>
      <c r="C257" s="100" t="s">
        <v>915</v>
      </c>
      <c r="D257" t="s">
        <v>913</v>
      </c>
      <c r="E257">
        <v>50</v>
      </c>
      <c r="G257" s="100" t="str">
        <f>IFERROR(VLOOKUP($C257,[5]!BOM_개발품목_1[[제품명]:[사양]],4,0),"")</f>
        <v/>
      </c>
      <c r="H257" s="100" t="str">
        <f>IFERROR(VLOOKUP($C257,[5]!BOM_개발품목_1[[제품명]:[사양]],2,0),"")</f>
        <v/>
      </c>
      <c r="I257" s="100" t="str">
        <f>IFERROR(VLOOKUP($C257,[5]!BOM_개발품목_1[[제품명]:[사양]],5,0),"")</f>
        <v/>
      </c>
      <c r="J257" s="100" t="str">
        <f>IFERROR(VLOOKUP($C257,[5]!BOM_개발품목_1[[제품명]:[사양]],7,0),"")</f>
        <v/>
      </c>
    </row>
    <row r="258" spans="1:10">
      <c r="A258" s="100" t="str">
        <f t="shared" si="3"/>
        <v>_20250625</v>
      </c>
      <c r="B258" s="101">
        <v>45833</v>
      </c>
      <c r="C258" s="100" t="s">
        <v>868</v>
      </c>
      <c r="D258" t="s">
        <v>916</v>
      </c>
      <c r="E258">
        <v>200</v>
      </c>
      <c r="F258" s="103">
        <v>45834</v>
      </c>
      <c r="G258" s="100" t="str">
        <f>IFERROR(VLOOKUP($C258,[5]!BOM_개발품목_1[[제품명]:[사양]],4,0),"")</f>
        <v/>
      </c>
      <c r="H258" s="100" t="str">
        <f>IFERROR(VLOOKUP($C258,[5]!BOM_개발품목_1[[제품명]:[사양]],2,0),"")</f>
        <v/>
      </c>
      <c r="I258" s="100" t="str">
        <f>IFERROR(VLOOKUP($C258,[5]!BOM_개발품목_1[[제품명]:[사양]],5,0),"")</f>
        <v/>
      </c>
      <c r="J258" s="100" t="str">
        <f>IFERROR(VLOOKUP($C258,[5]!BOM_개발품목_1[[제품명]:[사양]],7,0),"")</f>
        <v/>
      </c>
    </row>
    <row r="259" spans="1:10">
      <c r="A259" s="100" t="str">
        <f t="shared" si="3"/>
        <v>_20250625</v>
      </c>
      <c r="B259" s="101">
        <v>45833</v>
      </c>
      <c r="C259" s="100" t="s">
        <v>841</v>
      </c>
      <c r="D259" s="117" t="s">
        <v>917</v>
      </c>
      <c r="E259">
        <v>100</v>
      </c>
      <c r="F259" s="103">
        <v>45838</v>
      </c>
      <c r="G259" s="100" t="str">
        <f>IFERROR(VLOOKUP($C259,[5]!BOM_개발품목_1[[제품명]:[사양]],4,0),"")</f>
        <v/>
      </c>
      <c r="H259" s="100" t="str">
        <f>IFERROR(VLOOKUP($C259,[5]!BOM_개발품목_1[[제품명]:[사양]],2,0),"")</f>
        <v/>
      </c>
      <c r="I259" s="100" t="str">
        <f>IFERROR(VLOOKUP($C259,[5]!BOM_개발품목_1[[제품명]:[사양]],5,0),"")</f>
        <v/>
      </c>
      <c r="J259" s="100" t="str">
        <f>IFERROR(VLOOKUP($C259,[5]!BOM_개발품목_1[[제품명]:[사양]],7,0),"")</f>
        <v/>
      </c>
    </row>
    <row r="260" spans="1:10">
      <c r="A260" s="100" t="str">
        <f t="shared" si="3"/>
        <v>_20250626</v>
      </c>
      <c r="B260" s="101">
        <v>45834</v>
      </c>
      <c r="C260" s="100" t="s">
        <v>918</v>
      </c>
      <c r="D260" t="s">
        <v>919</v>
      </c>
      <c r="E260">
        <v>50</v>
      </c>
      <c r="F260" s="103"/>
      <c r="G260" s="100" t="str">
        <f>IFERROR(VLOOKUP($C260,[5]!BOM_개발품목_1[[제품명]:[사양]],4,0),"")</f>
        <v/>
      </c>
      <c r="H260" s="100" t="str">
        <f>IFERROR(VLOOKUP($C260,[5]!BOM_개발품목_1[[제품명]:[사양]],2,0),"")</f>
        <v/>
      </c>
      <c r="I260" s="100" t="str">
        <f>IFERROR(VLOOKUP($C260,[5]!BOM_개발품목_1[[제품명]:[사양]],5,0),"")</f>
        <v/>
      </c>
      <c r="J260" s="100" t="str">
        <f>IFERROR(VLOOKUP($C260,[5]!BOM_개발품목_1[[제품명]:[사양]],7,0),"")</f>
        <v/>
      </c>
    </row>
    <row r="261" spans="1:10">
      <c r="A261" s="100" t="str">
        <f t="shared" ref="A261:A294" si="4">IFERROR(G261&amp;"_"&amp;YEAR(B261)&amp;TEXT(MONTH(B261),"00")&amp;TEXT(DAY(B261),"00"),"")</f>
        <v>_20250630</v>
      </c>
      <c r="B261" s="101">
        <v>45838</v>
      </c>
      <c r="C261" s="100" t="s">
        <v>881</v>
      </c>
      <c r="D261" t="s">
        <v>920</v>
      </c>
      <c r="E261">
        <v>100</v>
      </c>
      <c r="F261" s="103">
        <v>45840</v>
      </c>
      <c r="G261" s="100" t="str">
        <f>IFERROR(VLOOKUP($C261,[5]!BOM_개발품목_1[[제품명]:[사양]],4,0),"")</f>
        <v/>
      </c>
      <c r="H261" s="100" t="str">
        <f>IFERROR(VLOOKUP($C261,[5]!BOM_개발품목_1[[제품명]:[사양]],2,0),"")</f>
        <v/>
      </c>
      <c r="I261" s="100" t="str">
        <f>IFERROR(VLOOKUP($C261,[5]!BOM_개발품목_1[[제품명]:[사양]],5,0),"")</f>
        <v/>
      </c>
      <c r="J261" s="100" t="str">
        <f>IFERROR(VLOOKUP($C261,[5]!BOM_개발품목_1[[제품명]:[사양]],7,0),"")</f>
        <v/>
      </c>
    </row>
    <row r="262" spans="1:10">
      <c r="A262" s="100" t="str">
        <f t="shared" si="4"/>
        <v>_20250702</v>
      </c>
      <c r="B262" s="101">
        <v>45840</v>
      </c>
      <c r="C262" s="121" t="s">
        <v>921</v>
      </c>
      <c r="D262" s="122" t="s">
        <v>922</v>
      </c>
      <c r="E262">
        <v>200</v>
      </c>
      <c r="G262" s="100" t="str">
        <f>IFERROR(VLOOKUP($C262,[5]!BOM_개발품목_1[[제품명]:[사양]],4,0),"")</f>
        <v/>
      </c>
      <c r="H262" s="100" t="str">
        <f>IFERROR(VLOOKUP($C262,[5]!BOM_개발품목_1[[제품명]:[사양]],2,0),"")</f>
        <v/>
      </c>
      <c r="I262" s="100" t="str">
        <f>IFERROR(VLOOKUP($C262,[5]!BOM_개발품목_1[[제품명]:[사양]],5,0),"")</f>
        <v/>
      </c>
      <c r="J262" s="100" t="str">
        <f>IFERROR(VLOOKUP($C262,[5]!BOM_개발품목_1[[제품명]:[사양]],7,0),"")</f>
        <v/>
      </c>
    </row>
    <row r="263" spans="1:10">
      <c r="A263" s="100" t="str">
        <f t="shared" si="4"/>
        <v>_20250703</v>
      </c>
      <c r="B263" s="101">
        <v>45841</v>
      </c>
      <c r="C263" s="100" t="s">
        <v>912</v>
      </c>
      <c r="D263" s="107"/>
      <c r="E263">
        <v>200</v>
      </c>
      <c r="G263" s="100" t="str">
        <f>IFERROR(VLOOKUP($C263,[5]!BOM_개발품목_1[[제품명]:[사양]],4,0),"")</f>
        <v/>
      </c>
      <c r="H263" s="100" t="str">
        <f>IFERROR(VLOOKUP($C263,[5]!BOM_개발품목_1[[제품명]:[사양]],2,0),"")</f>
        <v/>
      </c>
      <c r="I263" s="100" t="str">
        <f>IFERROR(VLOOKUP($C263,[5]!BOM_개발품목_1[[제품명]:[사양]],5,0),"")</f>
        <v/>
      </c>
      <c r="J263" s="100" t="str">
        <f>IFERROR(VLOOKUP($C263,[5]!BOM_개발품목_1[[제품명]:[사양]],7,0),"")</f>
        <v/>
      </c>
    </row>
    <row r="264" spans="1:10">
      <c r="A264" s="100" t="str">
        <f t="shared" si="4"/>
        <v>_20250703</v>
      </c>
      <c r="B264" s="101">
        <v>45841</v>
      </c>
      <c r="C264" s="100" t="s">
        <v>914</v>
      </c>
      <c r="D264" s="107"/>
      <c r="E264">
        <v>200</v>
      </c>
      <c r="G264" s="100" t="str">
        <f>IFERROR(VLOOKUP($C264,[5]!BOM_개발품목_1[[제품명]:[사양]],4,0),"")</f>
        <v/>
      </c>
      <c r="H264" s="100" t="str">
        <f>IFERROR(VLOOKUP($C264,[5]!BOM_개발품목_1[[제품명]:[사양]],2,0),"")</f>
        <v/>
      </c>
      <c r="I264" s="100" t="str">
        <f>IFERROR(VLOOKUP($C264,[5]!BOM_개발품목_1[[제품명]:[사양]],5,0),"")</f>
        <v/>
      </c>
      <c r="J264" s="100" t="str">
        <f>IFERROR(VLOOKUP($C264,[5]!BOM_개발품목_1[[제품명]:[사양]],7,0),"")</f>
        <v/>
      </c>
    </row>
    <row r="265" spans="1:10">
      <c r="A265" s="100" t="str">
        <f t="shared" si="4"/>
        <v>_20250703</v>
      </c>
      <c r="B265" s="101">
        <v>45841</v>
      </c>
      <c r="C265" s="100" t="s">
        <v>915</v>
      </c>
      <c r="D265" s="107"/>
      <c r="E265">
        <v>200</v>
      </c>
      <c r="G265" s="100" t="str">
        <f>IFERROR(VLOOKUP($C265,[5]!BOM_개발품목_1[[제품명]:[사양]],4,0),"")</f>
        <v/>
      </c>
      <c r="H265" s="100" t="str">
        <f>IFERROR(VLOOKUP($C265,[5]!BOM_개발품목_1[[제품명]:[사양]],2,0),"")</f>
        <v/>
      </c>
      <c r="I265" s="100" t="str">
        <f>IFERROR(VLOOKUP($C265,[5]!BOM_개발품목_1[[제품명]:[사양]],5,0),"")</f>
        <v/>
      </c>
      <c r="J265" s="100" t="str">
        <f>IFERROR(VLOOKUP($C265,[5]!BOM_개발품목_1[[제품명]:[사양]],7,0),"")</f>
        <v/>
      </c>
    </row>
    <row r="266" spans="1:10">
      <c r="A266" s="100" t="str">
        <f t="shared" si="4"/>
        <v>_20250708</v>
      </c>
      <c r="B266" s="101">
        <v>45846</v>
      </c>
      <c r="C266" s="123" t="s">
        <v>923</v>
      </c>
      <c r="D266" t="s">
        <v>924</v>
      </c>
      <c r="E266">
        <v>50</v>
      </c>
      <c r="G266" s="100" t="str">
        <f>IFERROR(VLOOKUP($C266,[5]!BOM_개발품목_1[[제품명]:[사양]],4,0),"")</f>
        <v/>
      </c>
      <c r="H266" s="100" t="str">
        <f>IFERROR(VLOOKUP($C266,[5]!BOM_개발품목_1[[제품명]:[사양]],2,0),"")</f>
        <v/>
      </c>
      <c r="I266" s="100" t="str">
        <f>IFERROR(VLOOKUP($C266,[5]!BOM_개발품목_1[[제품명]:[사양]],5,0),"")</f>
        <v/>
      </c>
      <c r="J266" s="100" t="str">
        <f>IFERROR(VLOOKUP($C266,[5]!BOM_개발품목_1[[제품명]:[사양]],7,0),"")</f>
        <v/>
      </c>
    </row>
    <row r="267" spans="1:10">
      <c r="A267" s="100" t="str">
        <f t="shared" si="4"/>
        <v>_20250708</v>
      </c>
      <c r="B267" s="103">
        <v>45846</v>
      </c>
      <c r="C267" s="123" t="s">
        <v>925</v>
      </c>
      <c r="D267" t="s">
        <v>926</v>
      </c>
      <c r="E267">
        <v>50</v>
      </c>
      <c r="G267" s="100" t="str">
        <f>IFERROR(VLOOKUP($C267,[5]!BOM_개발품목_1[[제품명]:[사양]],4,0),"")</f>
        <v/>
      </c>
      <c r="H267" s="100" t="str">
        <f>IFERROR(VLOOKUP($C267,[5]!BOM_개발품목_1[[제품명]:[사양]],2,0),"")</f>
        <v/>
      </c>
      <c r="I267" s="100" t="str">
        <f>IFERROR(VLOOKUP($C267,[5]!BOM_개발품목_1[[제품명]:[사양]],5,0),"")</f>
        <v/>
      </c>
      <c r="J267" s="100" t="str">
        <f>IFERROR(VLOOKUP($C267,[5]!BOM_개발품목_1[[제품명]:[사양]],7,0),"")</f>
        <v/>
      </c>
    </row>
    <row r="268" spans="1:10">
      <c r="A268" s="100" t="str">
        <f t="shared" si="4"/>
        <v>_20250708</v>
      </c>
      <c r="B268" s="101">
        <v>45846</v>
      </c>
      <c r="C268" s="123" t="s">
        <v>927</v>
      </c>
      <c r="D268" t="s">
        <v>926</v>
      </c>
      <c r="E268">
        <v>50</v>
      </c>
      <c r="G268" s="100" t="str">
        <f>IFERROR(VLOOKUP($C268,[5]!BOM_개발품목_1[[제품명]:[사양]],4,0),"")</f>
        <v/>
      </c>
      <c r="H268" s="100" t="str">
        <f>IFERROR(VLOOKUP($C268,[5]!BOM_개발품목_1[[제품명]:[사양]],2,0),"")</f>
        <v/>
      </c>
      <c r="I268" s="100" t="str">
        <f>IFERROR(VLOOKUP($C268,[5]!BOM_개발품목_1[[제품명]:[사양]],5,0),"")</f>
        <v/>
      </c>
      <c r="J268" s="100" t="str">
        <f>IFERROR(VLOOKUP($C268,[5]!BOM_개발품목_1[[제품명]:[사양]],7,0),"")</f>
        <v/>
      </c>
    </row>
    <row r="269" spans="1:10">
      <c r="A269" s="100" t="str">
        <f t="shared" si="4"/>
        <v>_20250708</v>
      </c>
      <c r="B269" s="101">
        <v>45846</v>
      </c>
      <c r="C269" s="123" t="s">
        <v>928</v>
      </c>
      <c r="D269" t="s">
        <v>926</v>
      </c>
      <c r="E269">
        <v>50</v>
      </c>
      <c r="G269" s="100" t="str">
        <f>IFERROR(VLOOKUP($C269,[5]!BOM_개발품목_1[[제품명]:[사양]],4,0),"")</f>
        <v/>
      </c>
      <c r="H269" s="100" t="str">
        <f>IFERROR(VLOOKUP($C269,[5]!BOM_개발품목_1[[제품명]:[사양]],2,0),"")</f>
        <v/>
      </c>
      <c r="I269" s="100" t="str">
        <f>IFERROR(VLOOKUP($C269,[5]!BOM_개발품목_1[[제품명]:[사양]],5,0),"")</f>
        <v/>
      </c>
      <c r="J269" s="100" t="str">
        <f>IFERROR(VLOOKUP($C269,[5]!BOM_개발품목_1[[제품명]:[사양]],7,0),"")</f>
        <v/>
      </c>
    </row>
    <row r="270" spans="1:10">
      <c r="A270" s="100" t="str">
        <f t="shared" si="4"/>
        <v>_20250708</v>
      </c>
      <c r="B270" s="101">
        <v>45846</v>
      </c>
      <c r="C270" s="123" t="s">
        <v>929</v>
      </c>
      <c r="D270" t="s">
        <v>926</v>
      </c>
      <c r="E270">
        <v>50</v>
      </c>
      <c r="G270" s="100" t="str">
        <f>IFERROR(VLOOKUP($C270,[5]!BOM_개발품목_1[[제품명]:[사양]],4,0),"")</f>
        <v/>
      </c>
      <c r="H270" s="100" t="str">
        <f>IFERROR(VLOOKUP($C270,[5]!BOM_개발품목_1[[제품명]:[사양]],2,0),"")</f>
        <v/>
      </c>
      <c r="I270" s="100" t="str">
        <f>IFERROR(VLOOKUP($C270,[5]!BOM_개발품목_1[[제품명]:[사양]],5,0),"")</f>
        <v/>
      </c>
      <c r="J270" s="100" t="str">
        <f>IFERROR(VLOOKUP($C270,[5]!BOM_개발품목_1[[제품명]:[사양]],7,0),"")</f>
        <v/>
      </c>
    </row>
    <row r="271" spans="1:10">
      <c r="A271" s="100" t="str">
        <f t="shared" si="4"/>
        <v>_20250708</v>
      </c>
      <c r="B271" s="101">
        <v>45846</v>
      </c>
      <c r="C271" s="123" t="s">
        <v>930</v>
      </c>
      <c r="D271" t="s">
        <v>926</v>
      </c>
      <c r="E271">
        <v>50</v>
      </c>
      <c r="G271" s="100" t="str">
        <f>IFERROR(VLOOKUP($C271,[5]!BOM_개발품목_1[[제품명]:[사양]],4,0),"")</f>
        <v/>
      </c>
      <c r="H271" s="100" t="str">
        <f>IFERROR(VLOOKUP($C271,[5]!BOM_개발품목_1[[제품명]:[사양]],2,0),"")</f>
        <v/>
      </c>
      <c r="I271" s="100" t="str">
        <f>IFERROR(VLOOKUP($C271,[5]!BOM_개발품목_1[[제품명]:[사양]],5,0),"")</f>
        <v/>
      </c>
      <c r="J271" s="100" t="str">
        <f>IFERROR(VLOOKUP($C271,[5]!BOM_개발품목_1[[제품명]:[사양]],7,0),"")</f>
        <v/>
      </c>
    </row>
    <row r="272" spans="1:10">
      <c r="A272" s="100" t="str">
        <f t="shared" si="4"/>
        <v>_20250708</v>
      </c>
      <c r="B272" s="103">
        <v>45846</v>
      </c>
      <c r="C272" s="123" t="s">
        <v>931</v>
      </c>
      <c r="D272" t="s">
        <v>926</v>
      </c>
      <c r="E272">
        <v>50</v>
      </c>
      <c r="G272" s="100" t="str">
        <f>IFERROR(VLOOKUP($C272,[5]!BOM_개발품목_1[[제품명]:[사양]],4,0),"")</f>
        <v/>
      </c>
      <c r="H272" s="100" t="str">
        <f>IFERROR(VLOOKUP($C272,[5]!BOM_개발품목_1[[제품명]:[사양]],2,0),"")</f>
        <v/>
      </c>
      <c r="I272" s="100" t="str">
        <f>IFERROR(VLOOKUP($C272,[5]!BOM_개발품목_1[[제품명]:[사양]],5,0),"")</f>
        <v/>
      </c>
      <c r="J272" s="100" t="str">
        <f>IFERROR(VLOOKUP($C272,[5]!BOM_개발품목_1[[제품명]:[사양]],7,0),"")</f>
        <v/>
      </c>
    </row>
    <row r="273" spans="1:10">
      <c r="A273" s="100" t="str">
        <f t="shared" si="4"/>
        <v>_20250708</v>
      </c>
      <c r="B273" s="101">
        <v>45846</v>
      </c>
      <c r="C273" s="123" t="s">
        <v>932</v>
      </c>
      <c r="D273" t="s">
        <v>926</v>
      </c>
      <c r="E273">
        <v>50</v>
      </c>
      <c r="G273" s="100" t="str">
        <f>IFERROR(VLOOKUP($C273,[5]!BOM_개발품목_1[[제품명]:[사양]],4,0),"")</f>
        <v/>
      </c>
      <c r="H273" s="100" t="str">
        <f>IFERROR(VLOOKUP($C273,[5]!BOM_개발품목_1[[제품명]:[사양]],2,0),"")</f>
        <v/>
      </c>
      <c r="I273" s="100" t="str">
        <f>IFERROR(VLOOKUP($C273,[5]!BOM_개발품목_1[[제품명]:[사양]],5,0),"")</f>
        <v/>
      </c>
      <c r="J273" s="100" t="str">
        <f>IFERROR(VLOOKUP($C273,[5]!BOM_개발품목_1[[제품명]:[사양]],7,0),"")</f>
        <v/>
      </c>
    </row>
    <row r="274" spans="1:10">
      <c r="A274" s="100" t="str">
        <f t="shared" si="4"/>
        <v>_20250708</v>
      </c>
      <c r="B274" s="101">
        <v>45846</v>
      </c>
      <c r="C274" s="123" t="s">
        <v>933</v>
      </c>
      <c r="D274" t="s">
        <v>926</v>
      </c>
      <c r="E274">
        <v>50</v>
      </c>
      <c r="G274" s="100" t="str">
        <f>IFERROR(VLOOKUP($C274,[5]!BOM_개발품목_1[[제품명]:[사양]],4,0),"")</f>
        <v/>
      </c>
      <c r="H274" s="100" t="str">
        <f>IFERROR(VLOOKUP($C274,[5]!BOM_개발품목_1[[제품명]:[사양]],2,0),"")</f>
        <v/>
      </c>
      <c r="I274" s="100" t="str">
        <f>IFERROR(VLOOKUP($C274,[5]!BOM_개발품목_1[[제품명]:[사양]],5,0),"")</f>
        <v/>
      </c>
      <c r="J274" s="100" t="str">
        <f>IFERROR(VLOOKUP($C274,[5]!BOM_개발품목_1[[제품명]:[사양]],7,0),"")</f>
        <v/>
      </c>
    </row>
    <row r="275" spans="1:10">
      <c r="A275" s="100" t="str">
        <f t="shared" si="4"/>
        <v>_20250708</v>
      </c>
      <c r="B275" s="101">
        <v>45846</v>
      </c>
      <c r="C275" s="123" t="s">
        <v>929</v>
      </c>
      <c r="D275" t="s">
        <v>926</v>
      </c>
      <c r="E275">
        <v>50</v>
      </c>
      <c r="G275" s="100" t="str">
        <f>IFERROR(VLOOKUP($C275,[5]!BOM_개발품목_1[[제품명]:[사양]],4,0),"")</f>
        <v/>
      </c>
      <c r="H275" s="100" t="str">
        <f>IFERROR(VLOOKUP($C275,[5]!BOM_개발품목_1[[제품명]:[사양]],2,0),"")</f>
        <v/>
      </c>
      <c r="I275" s="100" t="str">
        <f>IFERROR(VLOOKUP($C275,[5]!BOM_개발품목_1[[제품명]:[사양]],5,0),"")</f>
        <v/>
      </c>
      <c r="J275" s="100" t="str">
        <f>IFERROR(VLOOKUP($C275,[5]!BOM_개발품목_1[[제품명]:[사양]],7,0),"")</f>
        <v/>
      </c>
    </row>
    <row r="276" spans="1:10">
      <c r="A276" s="100" t="str">
        <f t="shared" si="4"/>
        <v>_20250708</v>
      </c>
      <c r="B276" s="101">
        <v>45846</v>
      </c>
      <c r="C276" s="123" t="s">
        <v>934</v>
      </c>
      <c r="D276" t="s">
        <v>926</v>
      </c>
      <c r="E276">
        <v>50</v>
      </c>
      <c r="F276" s="103">
        <v>45856</v>
      </c>
      <c r="G276" s="100" t="str">
        <f>IFERROR(VLOOKUP($C276,[5]!BOM_개발품목_1[[제품명]:[사양]],4,0),"")</f>
        <v/>
      </c>
      <c r="H276" s="100" t="str">
        <f>IFERROR(VLOOKUP($C276,[5]!BOM_개발품목_1[[제품명]:[사양]],2,0),"")</f>
        <v/>
      </c>
      <c r="I276" s="100" t="str">
        <f>IFERROR(VLOOKUP($C276,[5]!BOM_개발품목_1[[제품명]:[사양]],5,0),"")</f>
        <v/>
      </c>
      <c r="J276" s="100" t="str">
        <f>IFERROR(VLOOKUP($C276,[5]!BOM_개발품목_1[[제품명]:[사양]],7,0),"")</f>
        <v/>
      </c>
    </row>
    <row r="277" spans="1:10">
      <c r="A277" s="100" t="str">
        <f t="shared" si="4"/>
        <v>_20250708</v>
      </c>
      <c r="B277" s="101">
        <v>45846</v>
      </c>
      <c r="C277" s="123" t="s">
        <v>935</v>
      </c>
      <c r="D277" t="s">
        <v>926</v>
      </c>
      <c r="E277">
        <v>50</v>
      </c>
      <c r="F277" s="103">
        <v>45856</v>
      </c>
      <c r="G277" s="100" t="str">
        <f>IFERROR(VLOOKUP($C277,[5]!BOM_개발품목_1[[제품명]:[사양]],4,0),"")</f>
        <v/>
      </c>
      <c r="H277" s="100" t="str">
        <f>IFERROR(VLOOKUP($C277,[5]!BOM_개발품목_1[[제품명]:[사양]],2,0),"")</f>
        <v/>
      </c>
      <c r="I277" s="100" t="str">
        <f>IFERROR(VLOOKUP($C277,[5]!BOM_개발품목_1[[제품명]:[사양]],5,0),"")</f>
        <v/>
      </c>
      <c r="J277" s="100" t="str">
        <f>IFERROR(VLOOKUP($C277,[5]!BOM_개발품목_1[[제품명]:[사양]],7,0),"")</f>
        <v/>
      </c>
    </row>
    <row r="278" spans="1:10">
      <c r="A278" s="100" t="str">
        <f t="shared" si="4"/>
        <v>_20250708</v>
      </c>
      <c r="B278" s="101">
        <v>45846</v>
      </c>
      <c r="C278" s="123" t="s">
        <v>936</v>
      </c>
      <c r="D278" t="s">
        <v>926</v>
      </c>
      <c r="E278">
        <v>50</v>
      </c>
      <c r="F278" s="103">
        <v>45856</v>
      </c>
      <c r="G278" s="100" t="str">
        <f>IFERROR(VLOOKUP($C278,[5]!BOM_개발품목_1[[제품명]:[사양]],4,0),"")</f>
        <v/>
      </c>
      <c r="H278" s="100" t="str">
        <f>IFERROR(VLOOKUP($C278,[5]!BOM_개발품목_1[[제품명]:[사양]],2,0),"")</f>
        <v/>
      </c>
      <c r="I278" s="100" t="str">
        <f>IFERROR(VLOOKUP($C278,[5]!BOM_개발품목_1[[제품명]:[사양]],5,0),"")</f>
        <v/>
      </c>
      <c r="J278" s="100" t="str">
        <f>IFERROR(VLOOKUP($C278,[5]!BOM_개발품목_1[[제품명]:[사양]],7,0),"")</f>
        <v/>
      </c>
    </row>
    <row r="279" spans="1:10">
      <c r="A279" s="100" t="str">
        <f t="shared" si="4"/>
        <v>_20250708</v>
      </c>
      <c r="B279" s="101">
        <v>45846</v>
      </c>
      <c r="C279" s="123" t="s">
        <v>937</v>
      </c>
      <c r="D279" t="s">
        <v>926</v>
      </c>
      <c r="E279">
        <v>50</v>
      </c>
      <c r="F279" s="103">
        <v>45856</v>
      </c>
      <c r="G279" s="100" t="str">
        <f>IFERROR(VLOOKUP($C279,[5]!BOM_개발품목_1[[제품명]:[사양]],4,0),"")</f>
        <v/>
      </c>
      <c r="H279" s="100" t="str">
        <f>IFERROR(VLOOKUP($C279,[5]!BOM_개발품목_1[[제품명]:[사양]],2,0),"")</f>
        <v/>
      </c>
      <c r="I279" s="100" t="str">
        <f>IFERROR(VLOOKUP($C279,[5]!BOM_개발품목_1[[제품명]:[사양]],5,0),"")</f>
        <v/>
      </c>
      <c r="J279" s="100" t="str">
        <f>IFERROR(VLOOKUP($C279,[5]!BOM_개발품목_1[[제품명]:[사양]],7,0),"")</f>
        <v/>
      </c>
    </row>
    <row r="280" spans="1:10">
      <c r="A280" s="100" t="str">
        <f t="shared" si="4"/>
        <v>_20250708</v>
      </c>
      <c r="B280" s="101">
        <v>45846</v>
      </c>
      <c r="C280" s="123" t="s">
        <v>938</v>
      </c>
      <c r="D280" t="s">
        <v>926</v>
      </c>
      <c r="E280">
        <v>50</v>
      </c>
      <c r="F280" s="103">
        <v>45856</v>
      </c>
      <c r="G280" s="100" t="str">
        <f>IFERROR(VLOOKUP($C280,[5]!BOM_개발품목_1[[제품명]:[사양]],4,0),"")</f>
        <v/>
      </c>
      <c r="H280" s="100" t="str">
        <f>IFERROR(VLOOKUP($C280,[5]!BOM_개발품목_1[[제품명]:[사양]],2,0),"")</f>
        <v/>
      </c>
      <c r="I280" s="100" t="str">
        <f>IFERROR(VLOOKUP($C280,[5]!BOM_개발품목_1[[제품명]:[사양]],5,0),"")</f>
        <v/>
      </c>
      <c r="J280" s="100" t="str">
        <f>IFERROR(VLOOKUP($C280,[5]!BOM_개발품목_1[[제품명]:[사양]],7,0),"")</f>
        <v/>
      </c>
    </row>
    <row r="281" spans="1:10">
      <c r="A281" s="100" t="str">
        <f t="shared" si="4"/>
        <v>_20250708</v>
      </c>
      <c r="B281" s="101">
        <v>45846</v>
      </c>
      <c r="C281" s="123" t="s">
        <v>939</v>
      </c>
      <c r="D281" t="s">
        <v>926</v>
      </c>
      <c r="E281">
        <v>50</v>
      </c>
      <c r="F281" s="103">
        <v>45856</v>
      </c>
      <c r="G281" s="100" t="str">
        <f>IFERROR(VLOOKUP($C281,[5]!BOM_개발품목_1[[제품명]:[사양]],4,0),"")</f>
        <v/>
      </c>
      <c r="H281" s="100" t="str">
        <f>IFERROR(VLOOKUP($C281,[5]!BOM_개발품목_1[[제품명]:[사양]],2,0),"")</f>
        <v/>
      </c>
      <c r="I281" s="100" t="str">
        <f>IFERROR(VLOOKUP($C281,[5]!BOM_개발품목_1[[제품명]:[사양]],5,0),"")</f>
        <v/>
      </c>
      <c r="J281" s="100" t="str">
        <f>IFERROR(VLOOKUP($C281,[5]!BOM_개발품목_1[[제품명]:[사양]],7,0),"")</f>
        <v/>
      </c>
    </row>
    <row r="282" spans="1:10">
      <c r="A282" s="100" t="str">
        <f t="shared" si="4"/>
        <v>_20250708</v>
      </c>
      <c r="B282" s="101">
        <v>45846</v>
      </c>
      <c r="C282" s="124" t="s">
        <v>940</v>
      </c>
      <c r="D282" t="s">
        <v>926</v>
      </c>
      <c r="E282">
        <v>50</v>
      </c>
      <c r="F282" s="103">
        <v>45856</v>
      </c>
      <c r="G282" s="100" t="str">
        <f>IFERROR(VLOOKUP($C282,[5]!BOM_개발품목_1[[제품명]:[사양]],4,0),"")</f>
        <v/>
      </c>
      <c r="H282" s="100" t="str">
        <f>IFERROR(VLOOKUP($C282,[5]!BOM_개발품목_1[[제품명]:[사양]],2,0),"")</f>
        <v/>
      </c>
      <c r="I282" s="100" t="str">
        <f>IFERROR(VLOOKUP($C282,[5]!BOM_개발품목_1[[제품명]:[사양]],5,0),"")</f>
        <v/>
      </c>
      <c r="J282" s="100" t="str">
        <f>IFERROR(VLOOKUP($C282,[5]!BOM_개발품목_1[[제품명]:[사양]],7,0),"")</f>
        <v/>
      </c>
    </row>
    <row r="283" spans="1:10">
      <c r="A283" s="100" t="str">
        <f t="shared" si="4"/>
        <v>_20250708</v>
      </c>
      <c r="B283" s="101">
        <v>45846</v>
      </c>
      <c r="C283" s="124" t="s">
        <v>941</v>
      </c>
      <c r="D283" t="s">
        <v>926</v>
      </c>
      <c r="E283">
        <v>50</v>
      </c>
      <c r="F283" s="103">
        <v>45856</v>
      </c>
      <c r="G283" s="100" t="str">
        <f>IFERROR(VLOOKUP($C283,[5]!BOM_개발품목_1[[제품명]:[사양]],4,0),"")</f>
        <v/>
      </c>
      <c r="H283" s="100" t="str">
        <f>IFERROR(VLOOKUP($C283,[5]!BOM_개발품목_1[[제품명]:[사양]],2,0),"")</f>
        <v/>
      </c>
      <c r="I283" s="100" t="str">
        <f>IFERROR(VLOOKUP($C283,[5]!BOM_개발품목_1[[제품명]:[사양]],5,0),"")</f>
        <v/>
      </c>
      <c r="J283" s="100" t="str">
        <f>IFERROR(VLOOKUP($C283,[5]!BOM_개발품목_1[[제품명]:[사양]],7,0),"")</f>
        <v/>
      </c>
    </row>
    <row r="284" spans="1:10">
      <c r="A284" s="100" t="str">
        <f t="shared" si="4"/>
        <v>_20250708</v>
      </c>
      <c r="B284" s="101">
        <v>45846</v>
      </c>
      <c r="C284" s="124" t="s">
        <v>942</v>
      </c>
      <c r="D284" t="s">
        <v>926</v>
      </c>
      <c r="E284">
        <v>50</v>
      </c>
      <c r="F284" s="103">
        <v>45856</v>
      </c>
      <c r="G284" s="100" t="str">
        <f>IFERROR(VLOOKUP($C284,[5]!BOM_개발품목_1[[제품명]:[사양]],4,0),"")</f>
        <v/>
      </c>
      <c r="H284" s="100" t="str">
        <f>IFERROR(VLOOKUP($C284,[5]!BOM_개발품목_1[[제품명]:[사양]],2,0),"")</f>
        <v/>
      </c>
      <c r="I284" s="100" t="str">
        <f>IFERROR(VLOOKUP($C284,[5]!BOM_개발품목_1[[제품명]:[사양]],5,0),"")</f>
        <v/>
      </c>
      <c r="J284" s="100" t="str">
        <f>IFERROR(VLOOKUP($C284,[5]!BOM_개발품목_1[[제품명]:[사양]],7,0),"")</f>
        <v/>
      </c>
    </row>
    <row r="285" spans="1:10">
      <c r="A285" s="100" t="str">
        <f t="shared" si="4"/>
        <v>_20250708</v>
      </c>
      <c r="B285" s="101">
        <v>45846</v>
      </c>
      <c r="C285" s="123" t="s">
        <v>943</v>
      </c>
      <c r="D285" t="s">
        <v>926</v>
      </c>
      <c r="E285">
        <v>50</v>
      </c>
      <c r="F285" s="103">
        <v>45856</v>
      </c>
      <c r="G285" s="100" t="str">
        <f>IFERROR(VLOOKUP($C285,[5]!BOM_개발품목_1[[제품명]:[사양]],4,0),"")</f>
        <v/>
      </c>
      <c r="H285" s="100" t="str">
        <f>IFERROR(VLOOKUP($C285,[5]!BOM_개발품목_1[[제품명]:[사양]],2,0),"")</f>
        <v/>
      </c>
      <c r="I285" s="100" t="str">
        <f>IFERROR(VLOOKUP($C285,[5]!BOM_개발품목_1[[제품명]:[사양]],5,0),"")</f>
        <v/>
      </c>
      <c r="J285" s="100" t="str">
        <f>IFERROR(VLOOKUP($C285,[5]!BOM_개발품목_1[[제품명]:[사양]],7,0),"")</f>
        <v/>
      </c>
    </row>
    <row r="286" spans="1:10">
      <c r="A286" s="100" t="str">
        <f t="shared" si="4"/>
        <v>_20250708</v>
      </c>
      <c r="B286" s="101">
        <v>45846</v>
      </c>
      <c r="C286" s="100" t="s">
        <v>912</v>
      </c>
      <c r="D286" s="107" t="s">
        <v>944</v>
      </c>
      <c r="E286">
        <v>200</v>
      </c>
      <c r="F286" s="103">
        <v>45852</v>
      </c>
      <c r="G286" s="100" t="str">
        <f>IFERROR(VLOOKUP($C286,[5]!BOM_개발품목_1[[제품명]:[사양]],4,0),"")</f>
        <v/>
      </c>
      <c r="H286" s="100" t="str">
        <f>IFERROR(VLOOKUP($C286,[5]!BOM_개발품목_1[[제품명]:[사양]],2,0),"")</f>
        <v/>
      </c>
      <c r="I286" s="100" t="str">
        <f>IFERROR(VLOOKUP($C286,[5]!BOM_개발품목_1[[제품명]:[사양]],5,0),"")</f>
        <v/>
      </c>
      <c r="J286" s="100" t="str">
        <f>IFERROR(VLOOKUP($C286,[5]!BOM_개발품목_1[[제품명]:[사양]],7,0),"")</f>
        <v/>
      </c>
    </row>
    <row r="287" spans="1:10">
      <c r="A287" s="100" t="str">
        <f t="shared" si="4"/>
        <v>_20250708</v>
      </c>
      <c r="B287" s="101">
        <v>45846</v>
      </c>
      <c r="C287" s="100" t="s">
        <v>945</v>
      </c>
      <c r="D287" s="107" t="s">
        <v>946</v>
      </c>
      <c r="E287">
        <v>200</v>
      </c>
      <c r="F287" s="103">
        <v>45852</v>
      </c>
      <c r="G287" s="100" t="str">
        <f>IFERROR(VLOOKUP($C287,[5]!BOM_개발품목_1[[제품명]:[사양]],4,0),"")</f>
        <v/>
      </c>
      <c r="H287" s="100" t="str">
        <f>IFERROR(VLOOKUP($C287,[5]!BOM_개발품목_1[[제품명]:[사양]],2,0),"")</f>
        <v/>
      </c>
      <c r="I287" s="100" t="str">
        <f>IFERROR(VLOOKUP($C287,[5]!BOM_개발품목_1[[제품명]:[사양]],5,0),"")</f>
        <v/>
      </c>
      <c r="J287" s="100" t="str">
        <f>IFERROR(VLOOKUP($C287,[5]!BOM_개발품목_1[[제품명]:[사양]],7,0),"")</f>
        <v/>
      </c>
    </row>
    <row r="288" spans="1:10">
      <c r="A288" s="100" t="str">
        <f t="shared" si="4"/>
        <v>_20250708</v>
      </c>
      <c r="B288" s="101">
        <v>45846</v>
      </c>
      <c r="C288" s="100" t="s">
        <v>915</v>
      </c>
      <c r="D288" s="107" t="s">
        <v>946</v>
      </c>
      <c r="E288">
        <v>200</v>
      </c>
      <c r="F288" s="103">
        <v>45852</v>
      </c>
      <c r="G288" s="100" t="str">
        <f>IFERROR(VLOOKUP($C288,[5]!BOM_개발품목_1[[제품명]:[사양]],4,0),"")</f>
        <v/>
      </c>
      <c r="H288" s="100" t="str">
        <f>IFERROR(VLOOKUP($C288,[5]!BOM_개발품목_1[[제품명]:[사양]],2,0),"")</f>
        <v/>
      </c>
      <c r="I288" s="100" t="str">
        <f>IFERROR(VLOOKUP($C288,[5]!BOM_개발품목_1[[제품명]:[사양]],5,0),"")</f>
        <v/>
      </c>
      <c r="J288" s="100" t="str">
        <f>IFERROR(VLOOKUP($C288,[5]!BOM_개발품목_1[[제품명]:[사양]],7,0),"")</f>
        <v/>
      </c>
    </row>
    <row r="289" spans="1:15">
      <c r="A289" s="100" t="str">
        <f t="shared" si="4"/>
        <v>_20250714</v>
      </c>
      <c r="B289" s="101">
        <v>45852</v>
      </c>
      <c r="C289" s="100" t="s">
        <v>866</v>
      </c>
      <c r="D289" s="122" t="s">
        <v>947</v>
      </c>
      <c r="E289">
        <v>100</v>
      </c>
      <c r="F289" s="103">
        <v>45853</v>
      </c>
      <c r="G289" s="100" t="str">
        <f>IFERROR(VLOOKUP($C289,[5]!BOM_개발품목_1[[제품명]:[사양]],4,0),"")</f>
        <v/>
      </c>
      <c r="H289" s="100" t="str">
        <f>IFERROR(VLOOKUP($C289,[5]!BOM_개발품목_1[[제품명]:[사양]],2,0),"")</f>
        <v/>
      </c>
      <c r="I289" s="100" t="str">
        <f>IFERROR(VLOOKUP($C289,[5]!BOM_개발품목_1[[제품명]:[사양]],5,0),"")</f>
        <v/>
      </c>
      <c r="J289" s="100" t="str">
        <f>IFERROR(VLOOKUP($C289,[5]!BOM_개발품목_1[[제품명]:[사양]],7,0),"")</f>
        <v/>
      </c>
    </row>
    <row r="290" spans="1:15">
      <c r="A290" s="100" t="str">
        <f t="shared" si="4"/>
        <v>_20250720</v>
      </c>
      <c r="B290" s="101">
        <v>45858</v>
      </c>
      <c r="C290" s="100" t="s">
        <v>810</v>
      </c>
      <c r="D290" t="s">
        <v>948</v>
      </c>
      <c r="E290">
        <v>2100</v>
      </c>
      <c r="F290" s="103">
        <v>45862</v>
      </c>
      <c r="G290" s="100" t="str">
        <f>IFERROR(VLOOKUP($C290,[5]!BOM_개발품목_1[[제품명]:[사양]],4,0),"")</f>
        <v/>
      </c>
      <c r="H290" s="100" t="str">
        <f>IFERROR(VLOOKUP($C290,[5]!BOM_개발품목_1[[제품명]:[사양]],2,0),"")</f>
        <v/>
      </c>
      <c r="I290" s="100" t="str">
        <f>IFERROR(VLOOKUP($C290,[5]!BOM_개발품목_1[[제품명]:[사양]],5,0),"")</f>
        <v/>
      </c>
      <c r="J290" s="100" t="str">
        <f>IFERROR(VLOOKUP($C290,[5]!BOM_개발품목_1[[제품명]:[사양]],7,0),"")</f>
        <v/>
      </c>
    </row>
    <row r="291" spans="1:15">
      <c r="A291" s="100" t="str">
        <f t="shared" si="4"/>
        <v>_20250723</v>
      </c>
      <c r="B291" s="101">
        <v>45861</v>
      </c>
      <c r="C291" s="100" t="s">
        <v>949</v>
      </c>
      <c r="D291" t="s">
        <v>926</v>
      </c>
      <c r="E291">
        <v>50</v>
      </c>
      <c r="F291" s="103">
        <v>45862</v>
      </c>
      <c r="G291" s="100" t="str">
        <f>IFERROR(VLOOKUP($C291,[5]!BOM_개발품목_1[[제품명]:[사양]],4,0),"")</f>
        <v/>
      </c>
      <c r="H291" s="100" t="str">
        <f>IFERROR(VLOOKUP($C291,[5]!BOM_개발품목_1[[제품명]:[사양]],2,0),"")</f>
        <v/>
      </c>
      <c r="I291" s="100" t="str">
        <f>IFERROR(VLOOKUP($C291,[5]!BOM_개발품목_1[[제품명]:[사양]],5,0),"")</f>
        <v/>
      </c>
      <c r="J291" s="100" t="str">
        <f>IFERROR(VLOOKUP($C291,[5]!BOM_개발품목_1[[제품명]:[사양]],7,0),"")</f>
        <v/>
      </c>
    </row>
    <row r="292" spans="1:15">
      <c r="A292" s="100" t="str">
        <f t="shared" si="4"/>
        <v>_20250708</v>
      </c>
      <c r="B292" s="101">
        <v>45846</v>
      </c>
      <c r="C292" s="124" t="s">
        <v>942</v>
      </c>
      <c r="D292" t="s">
        <v>950</v>
      </c>
      <c r="E292">
        <v>100</v>
      </c>
      <c r="F292" s="103">
        <v>45868</v>
      </c>
      <c r="G292" s="100" t="str">
        <f>IFERROR(VLOOKUP($C292,[5]!BOM_개발품목_1[[제품명]:[사양]],4,0),"")</f>
        <v/>
      </c>
      <c r="H292" s="100" t="str">
        <f>IFERROR(VLOOKUP($C292,[5]!BOM_개발품목_1[[제품명]:[사양]],2,0),"")</f>
        <v/>
      </c>
      <c r="I292" s="100" t="str">
        <f>IFERROR(VLOOKUP($C292,[5]!BOM_개발품목_1[[제품명]:[사양]],5,0),"")</f>
        <v/>
      </c>
      <c r="J292" s="100" t="str">
        <f>IFERROR(VLOOKUP($C292,[5]!BOM_개발품목_1[[제품명]:[사양]],7,0),"")</f>
        <v/>
      </c>
      <c r="O292" t="s">
        <v>951</v>
      </c>
    </row>
    <row r="293" spans="1:15">
      <c r="A293" s="100" t="str">
        <f t="shared" si="4"/>
        <v>_20250807</v>
      </c>
      <c r="B293" s="101">
        <v>45876</v>
      </c>
      <c r="C293" s="100" t="s">
        <v>915</v>
      </c>
      <c r="D293" t="s">
        <v>952</v>
      </c>
      <c r="G293" s="100" t="str">
        <f>IFERROR(VLOOKUP($C293,[5]!BOM_개발품목_1[[제품명]:[사양]],4,0),"")</f>
        <v/>
      </c>
      <c r="H293" s="100" t="str">
        <f>IFERROR(VLOOKUP($C293,[5]!BOM_개발품목_1[[제품명]:[사양]],2,0),"")</f>
        <v/>
      </c>
      <c r="I293" s="100" t="str">
        <f>IFERROR(VLOOKUP($C293,[5]!BOM_개발품목_1[[제품명]:[사양]],5,0),"")</f>
        <v/>
      </c>
      <c r="J293" s="100" t="str">
        <f>IFERROR(VLOOKUP($C293,[5]!BOM_개발품목_1[[제품명]:[사양]],7,0),"")</f>
        <v/>
      </c>
    </row>
    <row r="294" spans="1:15">
      <c r="A294" s="100" t="str">
        <f t="shared" si="4"/>
        <v>_20250812</v>
      </c>
      <c r="B294" s="101">
        <v>45881</v>
      </c>
      <c r="C294" s="100" t="s">
        <v>915</v>
      </c>
      <c r="D294" t="s">
        <v>953</v>
      </c>
      <c r="E294">
        <v>100</v>
      </c>
      <c r="G294" s="100" t="str">
        <f>IFERROR(VLOOKUP($C294,[5]!BOM_개발품목_1[[제품명]:[사양]],4,0),"")</f>
        <v/>
      </c>
      <c r="H294" s="100" t="str">
        <f>IFERROR(VLOOKUP($C294,[5]!BOM_개발품목_1[[제품명]:[사양]],2,0),"")</f>
        <v/>
      </c>
      <c r="I294" s="100" t="str">
        <f>IFERROR(VLOOKUP($C294,[5]!BOM_개발품목_1[[제품명]:[사양]],5,0),"")</f>
        <v/>
      </c>
      <c r="J294" s="100" t="str">
        <f>IFERROR(VLOOKUP($C294,[5]!BOM_개발품목_1[[제품명]:[사양]],7,0),"")</f>
        <v/>
      </c>
    </row>
    <row r="295" spans="1:15" ht="363">
      <c r="A295" s="100"/>
      <c r="B295" s="103">
        <v>45881</v>
      </c>
      <c r="C295" s="100" t="s">
        <v>954</v>
      </c>
      <c r="D295" s="105" t="s">
        <v>1440</v>
      </c>
      <c r="E295">
        <v>200</v>
      </c>
      <c r="G295" s="100"/>
      <c r="H295" s="100"/>
      <c r="I295" s="100"/>
      <c r="J295" s="100"/>
    </row>
    <row r="296" spans="1:15">
      <c r="A296" s="100" t="str">
        <f t="shared" ref="A296:A322" si="5">IFERROR(G296&amp;"_"&amp;YEAR(B296)&amp;TEXT(MONTH(B296),"00")&amp;TEXT(DAY(B296),"00"),"")</f>
        <v>_20250812</v>
      </c>
      <c r="B296" s="101">
        <v>45881</v>
      </c>
      <c r="C296" s="123" t="s">
        <v>923</v>
      </c>
      <c r="D296" t="s">
        <v>955</v>
      </c>
      <c r="E296">
        <v>200</v>
      </c>
      <c r="G296" s="100" t="str">
        <f>IFERROR(VLOOKUP($C296,[5]!BOM_개발품목_1[[제품명]:[사양]],4,0),"")</f>
        <v/>
      </c>
      <c r="H296" s="100" t="str">
        <f>IFERROR(VLOOKUP($C296,[5]!BOM_개발품목_1[[제품명]:[사양]],2,0),"")</f>
        <v/>
      </c>
      <c r="I296" s="100" t="str">
        <f>IFERROR(VLOOKUP($C296,[5]!BOM_개발품목_1[[제품명]:[사양]],5,0),"")</f>
        <v/>
      </c>
      <c r="J296" s="100" t="str">
        <f>IFERROR(VLOOKUP($C296,[5]!BOM_개발품목_1[[제품명]:[사양]],7,0),"")</f>
        <v/>
      </c>
    </row>
    <row r="297" spans="1:15">
      <c r="A297" s="100" t="str">
        <f t="shared" si="5"/>
        <v>_20250812</v>
      </c>
      <c r="B297" s="101">
        <v>45881</v>
      </c>
      <c r="C297" s="123" t="s">
        <v>925</v>
      </c>
      <c r="D297" t="s">
        <v>956</v>
      </c>
      <c r="E297">
        <v>200</v>
      </c>
      <c r="G297" s="100" t="str">
        <f>IFERROR(VLOOKUP($C297,[5]!BOM_개발품목_1[[제품명]:[사양]],4,0),"")</f>
        <v/>
      </c>
      <c r="H297" s="100" t="str">
        <f>IFERROR(VLOOKUP($C297,[5]!BOM_개발품목_1[[제품명]:[사양]],2,0),"")</f>
        <v/>
      </c>
      <c r="I297" s="100" t="str">
        <f>IFERROR(VLOOKUP($C297,[5]!BOM_개발품목_1[[제품명]:[사양]],5,0),"")</f>
        <v/>
      </c>
      <c r="J297" s="100" t="str">
        <f>IFERROR(VLOOKUP($C297,[5]!BOM_개발품목_1[[제품명]:[사양]],7,0),"")</f>
        <v/>
      </c>
    </row>
    <row r="298" spans="1:15">
      <c r="A298" s="100" t="str">
        <f t="shared" si="5"/>
        <v>_20250812</v>
      </c>
      <c r="B298" s="101">
        <v>45881</v>
      </c>
      <c r="C298" s="123" t="s">
        <v>927</v>
      </c>
      <c r="D298" t="s">
        <v>956</v>
      </c>
      <c r="E298">
        <v>200</v>
      </c>
      <c r="G298" s="100" t="str">
        <f>IFERROR(VLOOKUP($C298,[5]!BOM_개발품목_1[[제품명]:[사양]],4,0),"")</f>
        <v/>
      </c>
      <c r="H298" s="100" t="str">
        <f>IFERROR(VLOOKUP($C298,[5]!BOM_개발품목_1[[제품명]:[사양]],2,0),"")</f>
        <v/>
      </c>
      <c r="I298" s="100" t="str">
        <f>IFERROR(VLOOKUP($C298,[5]!BOM_개발품목_1[[제품명]:[사양]],5,0),"")</f>
        <v/>
      </c>
      <c r="J298" s="100" t="str">
        <f>IFERROR(VLOOKUP($C298,[5]!BOM_개발품목_1[[제품명]:[사양]],7,0),"")</f>
        <v/>
      </c>
    </row>
    <row r="299" spans="1:15">
      <c r="A299" s="100" t="str">
        <f t="shared" si="5"/>
        <v>_20250812</v>
      </c>
      <c r="B299" s="101">
        <v>45881</v>
      </c>
      <c r="C299" s="123" t="s">
        <v>928</v>
      </c>
      <c r="D299" t="s">
        <v>956</v>
      </c>
      <c r="E299">
        <v>200</v>
      </c>
      <c r="G299" s="100" t="str">
        <f>IFERROR(VLOOKUP($C299,[5]!BOM_개발품목_1[[제품명]:[사양]],4,0),"")</f>
        <v/>
      </c>
      <c r="H299" s="100" t="str">
        <f>IFERROR(VLOOKUP($C299,[5]!BOM_개발품목_1[[제품명]:[사양]],2,0),"")</f>
        <v/>
      </c>
      <c r="I299" s="100" t="str">
        <f>IFERROR(VLOOKUP($C299,[5]!BOM_개발품목_1[[제품명]:[사양]],5,0),"")</f>
        <v/>
      </c>
      <c r="J299" s="100" t="str">
        <f>IFERROR(VLOOKUP($C299,[5]!BOM_개발품목_1[[제품명]:[사양]],7,0),"")</f>
        <v/>
      </c>
    </row>
    <row r="300" spans="1:15">
      <c r="A300" s="100" t="str">
        <f t="shared" si="5"/>
        <v>_20250812</v>
      </c>
      <c r="B300" s="101">
        <v>45881</v>
      </c>
      <c r="C300" s="123" t="s">
        <v>929</v>
      </c>
      <c r="D300" t="s">
        <v>956</v>
      </c>
      <c r="E300">
        <v>200</v>
      </c>
      <c r="G300" s="100" t="str">
        <f>IFERROR(VLOOKUP($C300,[5]!BOM_개발품목_1[[제품명]:[사양]],4,0),"")</f>
        <v/>
      </c>
      <c r="H300" s="100" t="str">
        <f>IFERROR(VLOOKUP($C300,[5]!BOM_개발품목_1[[제품명]:[사양]],2,0),"")</f>
        <v/>
      </c>
      <c r="I300" s="100" t="str">
        <f>IFERROR(VLOOKUP($C300,[5]!BOM_개발품목_1[[제품명]:[사양]],5,0),"")</f>
        <v/>
      </c>
      <c r="J300" s="100" t="str">
        <f>IFERROR(VLOOKUP($C300,[5]!BOM_개발품목_1[[제품명]:[사양]],7,0),"")</f>
        <v/>
      </c>
    </row>
    <row r="301" spans="1:15">
      <c r="A301" s="100" t="str">
        <f t="shared" si="5"/>
        <v>_20250812</v>
      </c>
      <c r="B301" s="101">
        <v>45881</v>
      </c>
      <c r="C301" s="123" t="s">
        <v>930</v>
      </c>
      <c r="D301" t="s">
        <v>956</v>
      </c>
      <c r="E301">
        <v>200</v>
      </c>
      <c r="G301" s="100" t="str">
        <f>IFERROR(VLOOKUP($C301,[5]!BOM_개발품목_1[[제품명]:[사양]],4,0),"")</f>
        <v/>
      </c>
      <c r="H301" s="100" t="str">
        <f>IFERROR(VLOOKUP($C301,[5]!BOM_개발품목_1[[제품명]:[사양]],2,0),"")</f>
        <v/>
      </c>
      <c r="I301" s="100" t="str">
        <f>IFERROR(VLOOKUP($C301,[5]!BOM_개발품목_1[[제품명]:[사양]],5,0),"")</f>
        <v/>
      </c>
      <c r="J301" s="100" t="str">
        <f>IFERROR(VLOOKUP($C301,[5]!BOM_개발품목_1[[제품명]:[사양]],7,0),"")</f>
        <v/>
      </c>
    </row>
    <row r="302" spans="1:15">
      <c r="A302" s="100" t="str">
        <f t="shared" si="5"/>
        <v>_20250812</v>
      </c>
      <c r="B302" s="101">
        <v>45881</v>
      </c>
      <c r="C302" s="123" t="s">
        <v>931</v>
      </c>
      <c r="D302" t="s">
        <v>956</v>
      </c>
      <c r="E302">
        <v>200</v>
      </c>
      <c r="G302" s="100" t="str">
        <f>IFERROR(VLOOKUP($C302,[5]!BOM_개발품목_1[[제품명]:[사양]],4,0),"")</f>
        <v/>
      </c>
      <c r="H302" s="100" t="str">
        <f>IFERROR(VLOOKUP($C302,[5]!BOM_개발품목_1[[제품명]:[사양]],2,0),"")</f>
        <v/>
      </c>
      <c r="I302" s="100" t="str">
        <f>IFERROR(VLOOKUP($C302,[5]!BOM_개발품목_1[[제품명]:[사양]],5,0),"")</f>
        <v/>
      </c>
      <c r="J302" s="100" t="str">
        <f>IFERROR(VLOOKUP($C302,[5]!BOM_개발품목_1[[제품명]:[사양]],7,0),"")</f>
        <v/>
      </c>
    </row>
    <row r="303" spans="1:15">
      <c r="A303" s="100" t="str">
        <f t="shared" si="5"/>
        <v>_20250812</v>
      </c>
      <c r="B303" s="101">
        <v>45881</v>
      </c>
      <c r="C303" s="123" t="s">
        <v>932</v>
      </c>
      <c r="D303" t="s">
        <v>956</v>
      </c>
      <c r="E303">
        <v>200</v>
      </c>
      <c r="G303" s="100" t="str">
        <f>IFERROR(VLOOKUP($C303,[5]!BOM_개발품목_1[[제품명]:[사양]],4,0),"")</f>
        <v/>
      </c>
      <c r="H303" s="100" t="str">
        <f>IFERROR(VLOOKUP($C303,[5]!BOM_개발품목_1[[제품명]:[사양]],2,0),"")</f>
        <v/>
      </c>
      <c r="I303" s="100" t="str">
        <f>IFERROR(VLOOKUP($C303,[5]!BOM_개발품목_1[[제품명]:[사양]],5,0),"")</f>
        <v/>
      </c>
      <c r="J303" s="100" t="str">
        <f>IFERROR(VLOOKUP($C303,[5]!BOM_개발품목_1[[제품명]:[사양]],7,0),"")</f>
        <v/>
      </c>
    </row>
    <row r="304" spans="1:15">
      <c r="A304" s="100" t="str">
        <f t="shared" si="5"/>
        <v>_20250812</v>
      </c>
      <c r="B304" s="101">
        <v>45881</v>
      </c>
      <c r="C304" s="123" t="s">
        <v>933</v>
      </c>
      <c r="D304" t="s">
        <v>956</v>
      </c>
      <c r="E304">
        <v>200</v>
      </c>
      <c r="G304" s="100" t="str">
        <f>IFERROR(VLOOKUP($C304,[5]!BOM_개발품목_1[[제품명]:[사양]],4,0),"")</f>
        <v/>
      </c>
      <c r="H304" s="100" t="str">
        <f>IFERROR(VLOOKUP($C304,[5]!BOM_개발품목_1[[제품명]:[사양]],2,0),"")</f>
        <v/>
      </c>
      <c r="I304" s="100" t="str">
        <f>IFERROR(VLOOKUP($C304,[5]!BOM_개발품목_1[[제품명]:[사양]],5,0),"")</f>
        <v/>
      </c>
      <c r="J304" s="100" t="str">
        <f>IFERROR(VLOOKUP($C304,[5]!BOM_개발품목_1[[제품명]:[사양]],7,0),"")</f>
        <v/>
      </c>
    </row>
    <row r="305" spans="1:10">
      <c r="A305" s="100" t="str">
        <f t="shared" si="5"/>
        <v>_20250812</v>
      </c>
      <c r="B305" s="101">
        <v>45881</v>
      </c>
      <c r="C305" s="123" t="s">
        <v>929</v>
      </c>
      <c r="D305" t="s">
        <v>956</v>
      </c>
      <c r="E305">
        <v>200</v>
      </c>
      <c r="G305" s="100" t="str">
        <f>IFERROR(VLOOKUP($C305,[5]!BOM_개발품목_1[[제품명]:[사양]],4,0),"")</f>
        <v/>
      </c>
      <c r="H305" s="100" t="str">
        <f>IFERROR(VLOOKUP($C305,[5]!BOM_개발품목_1[[제품명]:[사양]],2,0),"")</f>
        <v/>
      </c>
      <c r="I305" s="100" t="str">
        <f>IFERROR(VLOOKUP($C305,[5]!BOM_개발품목_1[[제품명]:[사양]],5,0),"")</f>
        <v/>
      </c>
      <c r="J305" s="100" t="str">
        <f>IFERROR(VLOOKUP($C305,[5]!BOM_개발품목_1[[제품명]:[사양]],7,0),"")</f>
        <v/>
      </c>
    </row>
    <row r="306" spans="1:10">
      <c r="A306" s="100" t="str">
        <f t="shared" si="5"/>
        <v>_20250812</v>
      </c>
      <c r="B306" s="101">
        <v>45881</v>
      </c>
      <c r="C306" s="123" t="s">
        <v>934</v>
      </c>
      <c r="D306" t="s">
        <v>956</v>
      </c>
      <c r="E306">
        <v>200</v>
      </c>
      <c r="F306" s="103"/>
      <c r="G306" s="100" t="str">
        <f>IFERROR(VLOOKUP($C306,[5]!BOM_개발품목_1[[제품명]:[사양]],4,0),"")</f>
        <v/>
      </c>
      <c r="H306" s="100" t="str">
        <f>IFERROR(VLOOKUP($C306,[5]!BOM_개발품목_1[[제품명]:[사양]],2,0),"")</f>
        <v/>
      </c>
      <c r="I306" s="100" t="str">
        <f>IFERROR(VLOOKUP($C306,[5]!BOM_개발품목_1[[제품명]:[사양]],5,0),"")</f>
        <v/>
      </c>
      <c r="J306" s="100" t="str">
        <f>IFERROR(VLOOKUP($C306,[5]!BOM_개발품목_1[[제품명]:[사양]],7,0),"")</f>
        <v/>
      </c>
    </row>
    <row r="307" spans="1:10">
      <c r="A307" s="100" t="str">
        <f t="shared" si="5"/>
        <v>_20250812</v>
      </c>
      <c r="B307" s="101">
        <v>45881</v>
      </c>
      <c r="C307" s="123" t="s">
        <v>935</v>
      </c>
      <c r="D307" t="s">
        <v>956</v>
      </c>
      <c r="E307">
        <v>200</v>
      </c>
      <c r="F307" s="103"/>
      <c r="G307" s="100" t="str">
        <f>IFERROR(VLOOKUP($C307,[5]!BOM_개발품목_1[[제품명]:[사양]],4,0),"")</f>
        <v/>
      </c>
      <c r="H307" s="100" t="str">
        <f>IFERROR(VLOOKUP($C307,[5]!BOM_개발품목_1[[제품명]:[사양]],2,0),"")</f>
        <v/>
      </c>
      <c r="I307" s="100" t="str">
        <f>IFERROR(VLOOKUP($C307,[5]!BOM_개발품목_1[[제품명]:[사양]],5,0),"")</f>
        <v/>
      </c>
      <c r="J307" s="100" t="str">
        <f>IFERROR(VLOOKUP($C307,[5]!BOM_개발품목_1[[제품명]:[사양]],7,0),"")</f>
        <v/>
      </c>
    </row>
    <row r="308" spans="1:10">
      <c r="A308" s="100" t="str">
        <f t="shared" si="5"/>
        <v>_20250812</v>
      </c>
      <c r="B308" s="101">
        <v>45881</v>
      </c>
      <c r="C308" s="123" t="s">
        <v>936</v>
      </c>
      <c r="D308" t="s">
        <v>956</v>
      </c>
      <c r="E308">
        <v>200</v>
      </c>
      <c r="F308" s="103"/>
      <c r="G308" s="100" t="str">
        <f>IFERROR(VLOOKUP($C308,[5]!BOM_개발품목_1[[제품명]:[사양]],4,0),"")</f>
        <v/>
      </c>
      <c r="H308" s="100" t="str">
        <f>IFERROR(VLOOKUP($C308,[5]!BOM_개발품목_1[[제품명]:[사양]],2,0),"")</f>
        <v/>
      </c>
      <c r="I308" s="100" t="str">
        <f>IFERROR(VLOOKUP($C308,[5]!BOM_개발품목_1[[제품명]:[사양]],5,0),"")</f>
        <v/>
      </c>
      <c r="J308" s="100" t="str">
        <f>IFERROR(VLOOKUP($C308,[5]!BOM_개발품목_1[[제품명]:[사양]],7,0),"")</f>
        <v/>
      </c>
    </row>
    <row r="309" spans="1:10">
      <c r="A309" s="100" t="str">
        <f t="shared" si="5"/>
        <v>_20250812</v>
      </c>
      <c r="B309" s="101">
        <v>45881</v>
      </c>
      <c r="C309" s="123" t="s">
        <v>937</v>
      </c>
      <c r="D309" t="s">
        <v>956</v>
      </c>
      <c r="E309">
        <v>200</v>
      </c>
      <c r="F309" s="103"/>
      <c r="G309" s="100" t="str">
        <f>IFERROR(VLOOKUP($C309,[5]!BOM_개발품목_1[[제품명]:[사양]],4,0),"")</f>
        <v/>
      </c>
      <c r="H309" s="100" t="str">
        <f>IFERROR(VLOOKUP($C309,[5]!BOM_개발품목_1[[제품명]:[사양]],2,0),"")</f>
        <v/>
      </c>
      <c r="I309" s="100" t="str">
        <f>IFERROR(VLOOKUP($C309,[5]!BOM_개발품목_1[[제품명]:[사양]],5,0),"")</f>
        <v/>
      </c>
      <c r="J309" s="100" t="str">
        <f>IFERROR(VLOOKUP($C309,[5]!BOM_개발품목_1[[제품명]:[사양]],7,0),"")</f>
        <v/>
      </c>
    </row>
    <row r="310" spans="1:10">
      <c r="A310" s="100" t="str">
        <f t="shared" si="5"/>
        <v>_20250812</v>
      </c>
      <c r="B310" s="101">
        <v>45881</v>
      </c>
      <c r="C310" s="123" t="s">
        <v>938</v>
      </c>
      <c r="D310" t="s">
        <v>956</v>
      </c>
      <c r="E310">
        <v>200</v>
      </c>
      <c r="F310" s="103"/>
      <c r="G310" s="100" t="str">
        <f>IFERROR(VLOOKUP($C310,[5]!BOM_개발품목_1[[제품명]:[사양]],4,0),"")</f>
        <v/>
      </c>
      <c r="H310" s="100" t="str">
        <f>IFERROR(VLOOKUP($C310,[5]!BOM_개발품목_1[[제품명]:[사양]],2,0),"")</f>
        <v/>
      </c>
      <c r="I310" s="100" t="str">
        <f>IFERROR(VLOOKUP($C310,[5]!BOM_개발품목_1[[제품명]:[사양]],5,0),"")</f>
        <v/>
      </c>
      <c r="J310" s="100" t="str">
        <f>IFERROR(VLOOKUP($C310,[5]!BOM_개발품목_1[[제품명]:[사양]],7,0),"")</f>
        <v/>
      </c>
    </row>
    <row r="311" spans="1:10">
      <c r="A311" s="100" t="str">
        <f t="shared" si="5"/>
        <v>_20250812</v>
      </c>
      <c r="B311" s="101">
        <v>45881</v>
      </c>
      <c r="C311" s="123" t="s">
        <v>939</v>
      </c>
      <c r="D311" t="s">
        <v>956</v>
      </c>
      <c r="E311">
        <v>200</v>
      </c>
      <c r="F311" s="103"/>
      <c r="G311" s="100" t="str">
        <f>IFERROR(VLOOKUP($C311,[5]!BOM_개발품목_1[[제품명]:[사양]],4,0),"")</f>
        <v/>
      </c>
      <c r="H311" s="100" t="str">
        <f>IFERROR(VLOOKUP($C311,[5]!BOM_개발품목_1[[제품명]:[사양]],2,0),"")</f>
        <v/>
      </c>
      <c r="I311" s="100" t="str">
        <f>IFERROR(VLOOKUP($C311,[5]!BOM_개발품목_1[[제품명]:[사양]],5,0),"")</f>
        <v/>
      </c>
      <c r="J311" s="100" t="str">
        <f>IFERROR(VLOOKUP($C311,[5]!BOM_개발품목_1[[제품명]:[사양]],7,0),"")</f>
        <v/>
      </c>
    </row>
    <row r="312" spans="1:10">
      <c r="A312" s="100" t="str">
        <f t="shared" si="5"/>
        <v>_20250812</v>
      </c>
      <c r="B312" s="101">
        <v>45881</v>
      </c>
      <c r="C312" s="124" t="s">
        <v>940</v>
      </c>
      <c r="D312" t="s">
        <v>956</v>
      </c>
      <c r="E312">
        <v>200</v>
      </c>
      <c r="F312" s="103"/>
      <c r="G312" s="100" t="str">
        <f>IFERROR(VLOOKUP($C312,[5]!BOM_개발품목_1[[제품명]:[사양]],4,0),"")</f>
        <v/>
      </c>
      <c r="H312" s="100" t="str">
        <f>IFERROR(VLOOKUP($C312,[5]!BOM_개발품목_1[[제품명]:[사양]],2,0),"")</f>
        <v/>
      </c>
      <c r="I312" s="100" t="str">
        <f>IFERROR(VLOOKUP($C312,[5]!BOM_개발품목_1[[제품명]:[사양]],5,0),"")</f>
        <v/>
      </c>
      <c r="J312" s="100" t="str">
        <f>IFERROR(VLOOKUP($C312,[5]!BOM_개발품목_1[[제품명]:[사양]],7,0),"")</f>
        <v/>
      </c>
    </row>
    <row r="313" spans="1:10">
      <c r="A313" s="100" t="str">
        <f t="shared" si="5"/>
        <v>_20250812</v>
      </c>
      <c r="B313" s="101">
        <v>45881</v>
      </c>
      <c r="C313" s="124" t="s">
        <v>941</v>
      </c>
      <c r="D313" t="s">
        <v>956</v>
      </c>
      <c r="E313">
        <v>200</v>
      </c>
      <c r="F313" s="103"/>
      <c r="G313" s="100" t="str">
        <f>IFERROR(VLOOKUP($C313,[5]!BOM_개발품목_1[[제품명]:[사양]],4,0),"")</f>
        <v/>
      </c>
      <c r="H313" s="100" t="str">
        <f>IFERROR(VLOOKUP($C313,[5]!BOM_개발품목_1[[제품명]:[사양]],2,0),"")</f>
        <v/>
      </c>
      <c r="I313" s="100" t="str">
        <f>IFERROR(VLOOKUP($C313,[5]!BOM_개발품목_1[[제품명]:[사양]],5,0),"")</f>
        <v/>
      </c>
      <c r="J313" s="100" t="str">
        <f>IFERROR(VLOOKUP($C313,[5]!BOM_개발품목_1[[제품명]:[사양]],7,0),"")</f>
        <v/>
      </c>
    </row>
    <row r="314" spans="1:10">
      <c r="A314" s="100" t="str">
        <f t="shared" si="5"/>
        <v>_20250812</v>
      </c>
      <c r="B314" s="101">
        <v>45881</v>
      </c>
      <c r="C314" s="124" t="s">
        <v>942</v>
      </c>
      <c r="D314" t="s">
        <v>956</v>
      </c>
      <c r="E314">
        <v>200</v>
      </c>
      <c r="F314" s="103"/>
      <c r="G314" s="100" t="str">
        <f>IFERROR(VLOOKUP($C314,[5]!BOM_개발품목_1[[제품명]:[사양]],4,0),"")</f>
        <v/>
      </c>
      <c r="H314" s="100" t="str">
        <f>IFERROR(VLOOKUP($C314,[5]!BOM_개발품목_1[[제품명]:[사양]],2,0),"")</f>
        <v/>
      </c>
      <c r="I314" s="100" t="str">
        <f>IFERROR(VLOOKUP($C314,[5]!BOM_개발품목_1[[제품명]:[사양]],5,0),"")</f>
        <v/>
      </c>
      <c r="J314" s="100" t="str">
        <f>IFERROR(VLOOKUP($C314,[5]!BOM_개발품목_1[[제품명]:[사양]],7,0),"")</f>
        <v/>
      </c>
    </row>
    <row r="315" spans="1:10">
      <c r="A315" s="100" t="str">
        <f t="shared" si="5"/>
        <v>_20250812</v>
      </c>
      <c r="B315" s="101">
        <v>45881</v>
      </c>
      <c r="C315" s="123" t="s">
        <v>943</v>
      </c>
      <c r="D315" t="s">
        <v>956</v>
      </c>
      <c r="E315">
        <v>200</v>
      </c>
      <c r="F315" s="103"/>
      <c r="G315" s="100" t="str">
        <f>IFERROR(VLOOKUP($C315,[5]!BOM_개발품목_1[[제품명]:[사양]],4,0),"")</f>
        <v/>
      </c>
      <c r="H315" s="100" t="str">
        <f>IFERROR(VLOOKUP($C315,[5]!BOM_개발품목_1[[제품명]:[사양]],2,0),"")</f>
        <v/>
      </c>
      <c r="I315" s="100" t="str">
        <f>IFERROR(VLOOKUP($C315,[5]!BOM_개발품목_1[[제품명]:[사양]],5,0),"")</f>
        <v/>
      </c>
      <c r="J315" s="100" t="str">
        <f>IFERROR(VLOOKUP($C315,[5]!BOM_개발품목_1[[제품명]:[사양]],7,0),"")</f>
        <v/>
      </c>
    </row>
    <row r="316" spans="1:10">
      <c r="A316" s="100" t="str">
        <f t="shared" si="5"/>
        <v>_20250820</v>
      </c>
      <c r="B316" s="101">
        <v>45889</v>
      </c>
      <c r="C316" s="100" t="s">
        <v>1428</v>
      </c>
      <c r="D316" t="s">
        <v>1429</v>
      </c>
      <c r="E316">
        <v>100</v>
      </c>
      <c r="F316" s="103">
        <v>45891</v>
      </c>
      <c r="G316" s="100"/>
      <c r="H316" s="100"/>
      <c r="I316" s="100"/>
      <c r="J316" s="100"/>
    </row>
    <row r="317" spans="1:10">
      <c r="A317" s="100" t="str">
        <f t="shared" si="5"/>
        <v>_20250820</v>
      </c>
      <c r="B317" s="101">
        <v>45889</v>
      </c>
      <c r="C317" s="100" t="s">
        <v>1430</v>
      </c>
      <c r="D317" t="s">
        <v>1429</v>
      </c>
      <c r="E317">
        <v>100</v>
      </c>
      <c r="F317" s="103">
        <v>45891</v>
      </c>
      <c r="G317" s="100"/>
      <c r="H317" s="100"/>
      <c r="I317" s="100"/>
      <c r="J317" s="100"/>
    </row>
    <row r="318" spans="1:10">
      <c r="A318" s="100" t="str">
        <f t="shared" si="5"/>
        <v>_20250820</v>
      </c>
      <c r="B318" s="101">
        <v>45889</v>
      </c>
      <c r="C318" s="100" t="s">
        <v>1431</v>
      </c>
      <c r="D318" t="s">
        <v>1429</v>
      </c>
      <c r="E318">
        <v>100</v>
      </c>
      <c r="F318" s="103">
        <v>45891</v>
      </c>
      <c r="G318" s="100"/>
      <c r="H318" s="100"/>
      <c r="I318" s="100"/>
      <c r="J318" s="100"/>
    </row>
    <row r="319" spans="1:10">
      <c r="A319" s="100" t="str">
        <f t="shared" si="5"/>
        <v>_20250820</v>
      </c>
      <c r="B319" s="101">
        <v>45889</v>
      </c>
      <c r="C319" s="100" t="s">
        <v>1432</v>
      </c>
      <c r="D319" t="s">
        <v>1429</v>
      </c>
      <c r="E319">
        <v>100</v>
      </c>
      <c r="F319" s="103">
        <v>45891</v>
      </c>
      <c r="G319" s="100"/>
      <c r="H319" s="100"/>
      <c r="I319" s="100"/>
      <c r="J319" s="100"/>
    </row>
    <row r="320" spans="1:10">
      <c r="A320" s="100" t="str">
        <f t="shared" si="5"/>
        <v>_20250820</v>
      </c>
      <c r="B320" s="101">
        <v>45889</v>
      </c>
      <c r="C320" s="100" t="s">
        <v>1433</v>
      </c>
      <c r="D320" t="s">
        <v>1429</v>
      </c>
      <c r="E320">
        <v>100</v>
      </c>
      <c r="F320" s="103">
        <v>45891</v>
      </c>
      <c r="G320" s="100"/>
      <c r="H320" s="100"/>
      <c r="I320" s="100"/>
      <c r="J320" s="100"/>
    </row>
    <row r="321" spans="1:10">
      <c r="A321" s="100" t="str">
        <f t="shared" si="5"/>
        <v>_20250820</v>
      </c>
      <c r="B321" s="101">
        <v>45889</v>
      </c>
      <c r="C321" s="100" t="s">
        <v>1434</v>
      </c>
      <c r="D321" t="s">
        <v>1429</v>
      </c>
      <c r="E321">
        <v>100</v>
      </c>
      <c r="F321" s="103">
        <v>45891</v>
      </c>
      <c r="G321" s="100"/>
      <c r="H321" s="100"/>
      <c r="I321" s="100"/>
      <c r="J321" s="100"/>
    </row>
    <row r="322" spans="1:10">
      <c r="A322" s="100" t="str">
        <f t="shared" si="5"/>
        <v>_20250820</v>
      </c>
      <c r="B322" s="101">
        <v>45889</v>
      </c>
      <c r="C322" s="100" t="s">
        <v>1435</v>
      </c>
      <c r="D322" t="s">
        <v>1429</v>
      </c>
      <c r="E322">
        <v>100</v>
      </c>
      <c r="F322" s="103">
        <v>45891</v>
      </c>
      <c r="G322" s="100"/>
      <c r="H322" s="100"/>
      <c r="I322" s="100"/>
      <c r="J322" s="100"/>
    </row>
    <row r="323" spans="1:10">
      <c r="A323" s="100"/>
      <c r="B323" s="101">
        <v>45894</v>
      </c>
      <c r="C323" s="100" t="s">
        <v>915</v>
      </c>
      <c r="D323" t="s">
        <v>1556</v>
      </c>
      <c r="E323">
        <v>200</v>
      </c>
      <c r="F323" s="103"/>
      <c r="G323" s="100" t="str">
        <f>IFERROR(VLOOKUP($C323,[5]!BOM_개발품목_1[[제품명]:[사양]],4,0),"")</f>
        <v/>
      </c>
      <c r="H323" s="100" t="str">
        <f>IFERROR(VLOOKUP($C323,[5]!BOM_개발품목_1[[제품명]:[사양]],2,0),"")</f>
        <v/>
      </c>
      <c r="I323" s="100" t="str">
        <f>IFERROR(VLOOKUP($C323,[5]!BOM_개발품목_1[[제품명]:[사양]],5,0),"")</f>
        <v/>
      </c>
      <c r="J323" s="100"/>
    </row>
    <row r="324" spans="1:10">
      <c r="A324" s="100"/>
      <c r="B324" s="101">
        <v>45891</v>
      </c>
      <c r="C324" s="100" t="s">
        <v>1557</v>
      </c>
      <c r="D324" t="s">
        <v>1558</v>
      </c>
      <c r="E324">
        <v>200</v>
      </c>
      <c r="F324" s="103">
        <v>45908</v>
      </c>
      <c r="G324" s="100" t="s">
        <v>1559</v>
      </c>
      <c r="H324" s="100"/>
      <c r="I324" s="100" t="s">
        <v>1560</v>
      </c>
      <c r="J324" s="100"/>
    </row>
    <row r="325" spans="1:10">
      <c r="A325" s="100"/>
      <c r="B325" s="101">
        <v>45904</v>
      </c>
      <c r="C325" s="100" t="s">
        <v>1561</v>
      </c>
      <c r="D325" s="133" t="s">
        <v>1562</v>
      </c>
      <c r="E325">
        <v>300</v>
      </c>
      <c r="F325" s="103">
        <v>45911</v>
      </c>
      <c r="G325" s="100"/>
      <c r="H325" s="100"/>
      <c r="I325" s="100"/>
      <c r="J325" s="100"/>
    </row>
    <row r="326" spans="1:10">
      <c r="A326" s="100"/>
      <c r="B326" s="101">
        <v>45904</v>
      </c>
      <c r="C326" s="100" t="s">
        <v>1563</v>
      </c>
      <c r="D326" s="134" t="s">
        <v>1564</v>
      </c>
      <c r="E326">
        <v>300</v>
      </c>
      <c r="F326" s="103">
        <v>45911</v>
      </c>
      <c r="G326" s="100"/>
      <c r="H326" s="100"/>
      <c r="I326" s="100"/>
      <c r="J326" s="100"/>
    </row>
    <row r="327" spans="1:10">
      <c r="A327" s="100"/>
      <c r="B327" s="103">
        <v>45905</v>
      </c>
      <c r="C327" s="100" t="s">
        <v>1565</v>
      </c>
      <c r="D327" s="134" t="s">
        <v>1566</v>
      </c>
      <c r="E327">
        <v>100</v>
      </c>
      <c r="F327" s="103">
        <v>45911</v>
      </c>
      <c r="G327" s="100"/>
      <c r="H327" s="100"/>
      <c r="I327" s="100"/>
      <c r="J327" s="100"/>
    </row>
    <row r="328" spans="1:10">
      <c r="A328" s="100"/>
      <c r="B328" s="103">
        <v>45905</v>
      </c>
      <c r="C328" s="100" t="s">
        <v>1567</v>
      </c>
      <c r="D328" s="134" t="s">
        <v>1566</v>
      </c>
      <c r="E328">
        <v>100</v>
      </c>
      <c r="F328" s="103">
        <v>45911</v>
      </c>
      <c r="G328" s="100"/>
      <c r="H328" s="100"/>
      <c r="I328" s="100"/>
      <c r="J328" s="100"/>
    </row>
    <row r="329" spans="1:10">
      <c r="A329" s="100" t="str">
        <f t="shared" ref="A329:A346" si="6">IFERROR(G329&amp;"_"&amp;YEAR(B329)&amp;TEXT(MONTH(B329),"00")&amp;TEXT(DAY(B329),"00"),"")</f>
        <v>_20250908</v>
      </c>
      <c r="B329" s="103">
        <v>45908</v>
      </c>
      <c r="C329" s="123" t="s">
        <v>927</v>
      </c>
      <c r="D329" t="s">
        <v>1568</v>
      </c>
      <c r="E329">
        <v>100</v>
      </c>
      <c r="G329" s="100" t="str">
        <f>IFERROR(VLOOKUP($C329,[5]!BOM_개발품목_1[[제품명]:[사양]],4,0),"")</f>
        <v/>
      </c>
      <c r="H329" s="100" t="str">
        <f>IFERROR(VLOOKUP($C329,[5]!BOM_개발품목_1[[제품명]:[사양]],2,0),"")</f>
        <v/>
      </c>
      <c r="I329" s="100" t="str">
        <f>IFERROR(VLOOKUP($C329,[5]!BOM_개발품목_1[[제품명]:[사양]],5,0),"")</f>
        <v/>
      </c>
      <c r="J329" s="100" t="str">
        <f>IFERROR(VLOOKUP($C329,[5]!BOM_개발품목_1[[제품명]:[사양]],7,0),"")</f>
        <v/>
      </c>
    </row>
    <row r="330" spans="1:10">
      <c r="A330" s="100" t="str">
        <f t="shared" si="6"/>
        <v>_20250908</v>
      </c>
      <c r="B330" s="103">
        <v>45908</v>
      </c>
      <c r="C330" s="100" t="s">
        <v>949</v>
      </c>
      <c r="D330" t="s">
        <v>1569</v>
      </c>
      <c r="E330">
        <v>100</v>
      </c>
      <c r="F330" s="103"/>
      <c r="G330" s="100" t="str">
        <f>IFERROR(VLOOKUP($C330,[5]!BOM_개발품목_1[[제품명]:[사양]],4,0),"")</f>
        <v/>
      </c>
      <c r="H330" s="100" t="str">
        <f>IFERROR(VLOOKUP($C330,[5]!BOM_개발품목_1[[제품명]:[사양]],2,0),"")</f>
        <v/>
      </c>
      <c r="I330" s="100" t="str">
        <f>IFERROR(VLOOKUP($C330,[5]!BOM_개발품목_1[[제품명]:[사양]],5,0),"")</f>
        <v/>
      </c>
      <c r="J330" s="100" t="str">
        <f>IFERROR(VLOOKUP($C330,[5]!BOM_개발품목_1[[제품명]:[사양]],7,0),"")</f>
        <v/>
      </c>
    </row>
    <row r="331" spans="1:10">
      <c r="A331" s="100" t="str">
        <f t="shared" si="6"/>
        <v>_20250908</v>
      </c>
      <c r="B331" s="103">
        <v>45908</v>
      </c>
      <c r="C331" s="123" t="s">
        <v>929</v>
      </c>
      <c r="D331" t="s">
        <v>1569</v>
      </c>
      <c r="E331">
        <v>100</v>
      </c>
      <c r="G331" s="100" t="str">
        <f>IFERROR(VLOOKUP($C331,[5]!BOM_개발품목_1[[제품명]:[사양]],4,0),"")</f>
        <v/>
      </c>
      <c r="H331" s="100" t="str">
        <f>IFERROR(VLOOKUP($C331,[5]!BOM_개발품목_1[[제품명]:[사양]],2,0),"")</f>
        <v/>
      </c>
      <c r="I331" s="100" t="str">
        <f>IFERROR(VLOOKUP($C331,[5]!BOM_개발품목_1[[제품명]:[사양]],5,0),"")</f>
        <v/>
      </c>
      <c r="J331" s="100" t="str">
        <f>IFERROR(VLOOKUP($C331,[5]!BOM_개발품목_1[[제품명]:[사양]],7,0),"")</f>
        <v/>
      </c>
    </row>
    <row r="332" spans="1:10">
      <c r="A332" s="100" t="str">
        <f t="shared" si="6"/>
        <v>_20250908</v>
      </c>
      <c r="B332" s="103">
        <v>45908</v>
      </c>
      <c r="C332" s="123" t="s">
        <v>932</v>
      </c>
      <c r="D332" t="s">
        <v>1568</v>
      </c>
      <c r="E332">
        <v>100</v>
      </c>
      <c r="G332" s="100" t="str">
        <f>IFERROR(VLOOKUP($C332,[5]!BOM_개발품목_1[[제품명]:[사양]],4,0),"")</f>
        <v/>
      </c>
      <c r="H332" s="100" t="str">
        <f>IFERROR(VLOOKUP($C332,[5]!BOM_개발품목_1[[제품명]:[사양]],2,0),"")</f>
        <v/>
      </c>
      <c r="I332" s="100" t="str">
        <f>IFERROR(VLOOKUP($C332,[5]!BOM_개발품목_1[[제품명]:[사양]],5,0),"")</f>
        <v/>
      </c>
      <c r="J332" s="100" t="str">
        <f>IFERROR(VLOOKUP($C332,[5]!BOM_개발품목_1[[제품명]:[사양]],7,0),"")</f>
        <v/>
      </c>
    </row>
    <row r="333" spans="1:10">
      <c r="A333" s="100" t="str">
        <f t="shared" si="6"/>
        <v>_20250908</v>
      </c>
      <c r="B333" s="101">
        <v>45908</v>
      </c>
      <c r="C333" s="123" t="s">
        <v>934</v>
      </c>
      <c r="D333" t="s">
        <v>1570</v>
      </c>
      <c r="E333">
        <v>100</v>
      </c>
      <c r="F333" s="103"/>
      <c r="G333" s="100" t="str">
        <f>IFERROR(VLOOKUP($C333,[5]!BOM_개발품목_1[[제품명]:[사양]],4,0),"")</f>
        <v/>
      </c>
      <c r="H333" s="100" t="str">
        <f>IFERROR(VLOOKUP($C333,[5]!BOM_개발품목_1[[제품명]:[사양]],2,0),"")</f>
        <v/>
      </c>
      <c r="I333" s="100" t="str">
        <f>IFERROR(VLOOKUP($C333,[5]!BOM_개발품목_1[[제품명]:[사양]],5,0),"")</f>
        <v/>
      </c>
      <c r="J333" s="100" t="str">
        <f>IFERROR(VLOOKUP($C333,[5]!BOM_개발품목_1[[제품명]:[사양]],7,0),"")</f>
        <v/>
      </c>
    </row>
    <row r="334" spans="1:10">
      <c r="A334" s="100" t="str">
        <f t="shared" si="6"/>
        <v>_20250908</v>
      </c>
      <c r="B334" s="101">
        <v>45908</v>
      </c>
      <c r="C334" s="123" t="s">
        <v>935</v>
      </c>
      <c r="D334" t="s">
        <v>1571</v>
      </c>
      <c r="E334">
        <v>100</v>
      </c>
      <c r="F334" s="103">
        <v>45906</v>
      </c>
      <c r="G334" s="100" t="str">
        <f>IFERROR(VLOOKUP($C334,[5]!BOM_개발품목_1[[제품명]:[사양]],4,0),"")</f>
        <v/>
      </c>
      <c r="H334" s="100" t="str">
        <f>IFERROR(VLOOKUP($C334,[5]!BOM_개발품목_1[[제품명]:[사양]],2,0),"")</f>
        <v/>
      </c>
      <c r="I334" s="100" t="str">
        <f>IFERROR(VLOOKUP($C334,[5]!BOM_개발품목_1[[제품명]:[사양]],5,0),"")</f>
        <v/>
      </c>
      <c r="J334" s="100" t="str">
        <f>IFERROR(VLOOKUP($C334,[5]!BOM_개발품목_1[[제품명]:[사양]],7,0),"")</f>
        <v/>
      </c>
    </row>
    <row r="335" spans="1:10">
      <c r="A335" s="100" t="str">
        <f t="shared" si="6"/>
        <v>_20250908</v>
      </c>
      <c r="B335" s="103">
        <v>45908</v>
      </c>
      <c r="C335" s="123" t="s">
        <v>936</v>
      </c>
      <c r="D335" t="s">
        <v>1572</v>
      </c>
      <c r="E335">
        <v>100</v>
      </c>
      <c r="F335" s="103"/>
      <c r="G335" s="100" t="str">
        <f>IFERROR(VLOOKUP($C335,[5]!BOM_개발품목_1[[제품명]:[사양]],4,0),"")</f>
        <v/>
      </c>
      <c r="H335" s="100" t="str">
        <f>IFERROR(VLOOKUP($C335,[5]!BOM_개발품목_1[[제품명]:[사양]],2,0),"")</f>
        <v/>
      </c>
      <c r="I335" s="100" t="str">
        <f>IFERROR(VLOOKUP($C335,[5]!BOM_개발품목_1[[제품명]:[사양]],5,0),"")</f>
        <v/>
      </c>
      <c r="J335" s="100" t="str">
        <f>IFERROR(VLOOKUP($C335,[5]!BOM_개발품목_1[[제품명]:[사양]],7,0),"")</f>
        <v/>
      </c>
    </row>
    <row r="336" spans="1:10">
      <c r="A336" s="100" t="str">
        <f t="shared" si="6"/>
        <v>_20250908</v>
      </c>
      <c r="B336" s="101">
        <v>45908</v>
      </c>
      <c r="C336" s="123" t="s">
        <v>938</v>
      </c>
      <c r="D336" t="s">
        <v>1573</v>
      </c>
      <c r="E336">
        <v>100</v>
      </c>
      <c r="F336" s="103"/>
      <c r="G336" s="100" t="str">
        <f>IFERROR(VLOOKUP($C336,[5]!BOM_개발품목_1[[제품명]:[사양]],4,0),"")</f>
        <v/>
      </c>
      <c r="H336" s="100" t="str">
        <f>IFERROR(VLOOKUP($C336,[5]!BOM_개발품목_1[[제품명]:[사양]],2,0),"")</f>
        <v/>
      </c>
      <c r="I336" s="100" t="str">
        <f>IFERROR(VLOOKUP($C336,[5]!BOM_개발품목_1[[제품명]:[사양]],5,0),"")</f>
        <v/>
      </c>
      <c r="J336" s="100" t="str">
        <f>IFERROR(VLOOKUP($C336,[5]!BOM_개발품목_1[[제품명]:[사양]],7,0),"")</f>
        <v/>
      </c>
    </row>
    <row r="337" spans="1:15">
      <c r="A337" s="100" t="str">
        <f t="shared" si="6"/>
        <v>_20250908</v>
      </c>
      <c r="B337" s="101">
        <v>45908</v>
      </c>
      <c r="C337" s="123" t="s">
        <v>939</v>
      </c>
      <c r="D337" t="s">
        <v>1574</v>
      </c>
      <c r="E337">
        <v>100</v>
      </c>
      <c r="F337" s="103"/>
      <c r="G337" s="100" t="str">
        <f>IFERROR(VLOOKUP($C337,[5]!BOM_개발품목_1[[제품명]:[사양]],4,0),"")</f>
        <v/>
      </c>
      <c r="H337" s="100" t="str">
        <f>IFERROR(VLOOKUP($C337,[5]!BOM_개발품목_1[[제품명]:[사양]],2,0),"")</f>
        <v/>
      </c>
      <c r="I337" s="100" t="str">
        <f>IFERROR(VLOOKUP($C337,[5]!BOM_개발품목_1[[제품명]:[사양]],5,0),"")</f>
        <v/>
      </c>
      <c r="J337" s="100" t="str">
        <f>IFERROR(VLOOKUP($C337,[5]!BOM_개발품목_1[[제품명]:[사양]],7,0),"")</f>
        <v/>
      </c>
    </row>
    <row r="338" spans="1:15">
      <c r="A338" s="100" t="str">
        <f t="shared" si="6"/>
        <v>_20250908</v>
      </c>
      <c r="B338" s="101">
        <v>45908</v>
      </c>
      <c r="C338" s="124" t="s">
        <v>940</v>
      </c>
      <c r="D338" t="s">
        <v>1575</v>
      </c>
      <c r="E338">
        <v>100</v>
      </c>
      <c r="F338" s="103">
        <v>45906</v>
      </c>
      <c r="G338" s="100" t="str">
        <f>IFERROR(VLOOKUP($C338,[5]!BOM_개발품목_1[[제품명]:[사양]],4,0),"")</f>
        <v/>
      </c>
      <c r="H338" s="100" t="str">
        <f>IFERROR(VLOOKUP($C338,[5]!BOM_개발품목_1[[제품명]:[사양]],2,0),"")</f>
        <v/>
      </c>
      <c r="I338" s="100" t="str">
        <f>IFERROR(VLOOKUP($C338,[5]!BOM_개발품목_1[[제품명]:[사양]],5,0),"")</f>
        <v/>
      </c>
      <c r="J338" s="100" t="str">
        <f>IFERROR(VLOOKUP($C338,[5]!BOM_개발품목_1[[제품명]:[사양]],7,0),"")</f>
        <v/>
      </c>
    </row>
    <row r="339" spans="1:15">
      <c r="A339" s="100" t="str">
        <f t="shared" si="6"/>
        <v>_20250908</v>
      </c>
      <c r="B339" s="103">
        <v>45908</v>
      </c>
      <c r="C339" s="124" t="s">
        <v>942</v>
      </c>
      <c r="D339" t="s">
        <v>1576</v>
      </c>
      <c r="E339">
        <v>100</v>
      </c>
      <c r="F339" s="103"/>
      <c r="G339" s="100" t="str">
        <f>IFERROR(VLOOKUP($C339,[5]!BOM_개발품목_1[[제품명]:[사양]],4,0),"")</f>
        <v/>
      </c>
      <c r="H339" s="100" t="str">
        <f>IFERROR(VLOOKUP($C339,[5]!BOM_개발품목_1[[제품명]:[사양]],2,0),"")</f>
        <v/>
      </c>
      <c r="I339" s="100" t="str">
        <f>IFERROR(VLOOKUP($C339,[5]!BOM_개발품목_1[[제품명]:[사양]],5,0),"")</f>
        <v/>
      </c>
      <c r="J339" s="100" t="str">
        <f>IFERROR(VLOOKUP($C339,[5]!BOM_개발품목_1[[제품명]:[사양]],7,0),"")</f>
        <v/>
      </c>
    </row>
    <row r="340" spans="1:15">
      <c r="A340" s="100" t="str">
        <f t="shared" si="6"/>
        <v>_20250908</v>
      </c>
      <c r="B340" s="103">
        <v>45908</v>
      </c>
      <c r="C340" s="123" t="s">
        <v>943</v>
      </c>
      <c r="D340" t="s">
        <v>1577</v>
      </c>
      <c r="E340">
        <v>100</v>
      </c>
      <c r="F340" s="103"/>
      <c r="G340" s="100" t="str">
        <f>IFERROR(VLOOKUP($C340,[5]!BOM_개발품목_1[[제품명]:[사양]],4,0),"")</f>
        <v/>
      </c>
      <c r="H340" s="100" t="str">
        <f>IFERROR(VLOOKUP($C340,[5]!BOM_개발품목_1[[제품명]:[사양]],2,0),"")</f>
        <v/>
      </c>
      <c r="I340" s="100" t="str">
        <f>IFERROR(VLOOKUP($C340,[5]!BOM_개발품목_1[[제품명]:[사양]],5,0),"")</f>
        <v/>
      </c>
      <c r="J340" s="100" t="str">
        <f>IFERROR(VLOOKUP($C340,[5]!BOM_개발품목_1[[제품명]:[사양]],7,0),"")</f>
        <v/>
      </c>
    </row>
    <row r="341" spans="1:15">
      <c r="A341" s="100" t="str">
        <f t="shared" si="6"/>
        <v>_20250908</v>
      </c>
      <c r="B341" s="101">
        <v>45908</v>
      </c>
      <c r="C341" s="100" t="s">
        <v>1428</v>
      </c>
      <c r="D341" t="s">
        <v>1578</v>
      </c>
      <c r="E341">
        <v>250</v>
      </c>
      <c r="F341" s="103"/>
      <c r="G341" s="100"/>
      <c r="H341" s="100"/>
      <c r="I341" s="100"/>
      <c r="J341" s="100"/>
    </row>
    <row r="342" spans="1:15">
      <c r="A342" s="100" t="str">
        <f t="shared" si="6"/>
        <v>_20250908</v>
      </c>
      <c r="B342" s="101">
        <v>45908</v>
      </c>
      <c r="C342" s="100" t="s">
        <v>1430</v>
      </c>
      <c r="D342" t="s">
        <v>1579</v>
      </c>
      <c r="E342">
        <v>250</v>
      </c>
      <c r="F342" s="103"/>
      <c r="G342" s="100"/>
      <c r="H342" s="100"/>
      <c r="I342" s="100"/>
      <c r="J342" s="100"/>
    </row>
    <row r="343" spans="1:15">
      <c r="A343" s="100" t="str">
        <f t="shared" si="6"/>
        <v>_20250908</v>
      </c>
      <c r="B343" s="101">
        <v>45908</v>
      </c>
      <c r="C343" s="100" t="s">
        <v>1431</v>
      </c>
      <c r="D343" t="s">
        <v>1580</v>
      </c>
      <c r="E343">
        <v>250</v>
      </c>
      <c r="F343" s="103"/>
      <c r="G343" s="100"/>
      <c r="H343" s="100"/>
      <c r="I343" s="100"/>
      <c r="J343" s="100"/>
    </row>
    <row r="344" spans="1:15">
      <c r="A344" s="100" t="str">
        <f t="shared" si="6"/>
        <v>_20250908</v>
      </c>
      <c r="B344" s="101">
        <v>45908</v>
      </c>
      <c r="C344" s="100" t="s">
        <v>1433</v>
      </c>
      <c r="D344" t="s">
        <v>1581</v>
      </c>
      <c r="E344">
        <v>250</v>
      </c>
      <c r="F344" s="103"/>
      <c r="G344" s="100"/>
      <c r="H344" s="100"/>
      <c r="I344" s="100"/>
      <c r="J344" s="100"/>
    </row>
    <row r="345" spans="1:15">
      <c r="A345" s="100" t="str">
        <f t="shared" si="6"/>
        <v>_20250908</v>
      </c>
      <c r="B345" s="101">
        <v>45908</v>
      </c>
      <c r="C345" s="100" t="s">
        <v>1434</v>
      </c>
      <c r="D345" t="s">
        <v>1579</v>
      </c>
      <c r="E345">
        <v>250</v>
      </c>
      <c r="F345" s="103"/>
      <c r="G345" s="100"/>
      <c r="H345" s="100"/>
      <c r="I345" s="100"/>
      <c r="J345" s="100"/>
    </row>
    <row r="346" spans="1:15">
      <c r="A346" s="100" t="str">
        <f t="shared" si="6"/>
        <v>_20250908</v>
      </c>
      <c r="B346" s="101">
        <v>45908</v>
      </c>
      <c r="C346" s="100" t="s">
        <v>1435</v>
      </c>
      <c r="D346" t="s">
        <v>1580</v>
      </c>
      <c r="E346">
        <v>250</v>
      </c>
      <c r="F346" s="103"/>
      <c r="G346" s="100"/>
      <c r="H346" s="100"/>
      <c r="I346" s="100"/>
      <c r="J346" s="100"/>
    </row>
    <row r="347" spans="1:15">
      <c r="A347" s="100"/>
      <c r="B347" s="101">
        <v>45909</v>
      </c>
      <c r="C347" s="100" t="s">
        <v>1582</v>
      </c>
      <c r="D347" t="s">
        <v>1583</v>
      </c>
      <c r="E347">
        <v>300</v>
      </c>
      <c r="G347" s="100"/>
      <c r="H347" s="100"/>
      <c r="I347" s="100"/>
      <c r="J347" s="100"/>
      <c r="O347" t="s">
        <v>1584</v>
      </c>
    </row>
    <row r="348" spans="1:15">
      <c r="A348" s="100"/>
      <c r="B348" s="101">
        <v>45909</v>
      </c>
      <c r="C348" s="100" t="s">
        <v>1585</v>
      </c>
      <c r="D348" t="s">
        <v>1583</v>
      </c>
      <c r="E348">
        <v>150</v>
      </c>
      <c r="G348" s="100"/>
      <c r="H348" s="100"/>
      <c r="I348" s="100"/>
      <c r="J348" s="100"/>
    </row>
    <row r="349" spans="1:15">
      <c r="A349" s="100"/>
      <c r="B349" s="101">
        <v>45909</v>
      </c>
      <c r="C349" s="100" t="s">
        <v>1585</v>
      </c>
      <c r="D349" t="s">
        <v>1586</v>
      </c>
      <c r="E349">
        <v>150</v>
      </c>
      <c r="G349" s="100"/>
      <c r="H349" s="100"/>
      <c r="I349" s="100"/>
      <c r="J349" s="100"/>
    </row>
    <row r="350" spans="1:15">
      <c r="A350" s="100"/>
      <c r="B350" s="103">
        <v>45915</v>
      </c>
      <c r="C350" s="100" t="s">
        <v>1587</v>
      </c>
      <c r="D350" t="s">
        <v>1588</v>
      </c>
      <c r="E350">
        <v>600</v>
      </c>
      <c r="F350" s="103">
        <v>45923</v>
      </c>
      <c r="G350" s="100"/>
      <c r="H350" s="100"/>
      <c r="I350" s="100"/>
      <c r="J350" s="100"/>
    </row>
    <row r="351" spans="1:15">
      <c r="A351" s="100"/>
      <c r="B351" s="103">
        <v>45918</v>
      </c>
      <c r="C351" s="100" t="s">
        <v>1589</v>
      </c>
      <c r="D351" t="s">
        <v>1590</v>
      </c>
      <c r="E351">
        <v>100</v>
      </c>
      <c r="F351" s="99" t="s">
        <v>1591</v>
      </c>
      <c r="G351" s="100"/>
      <c r="H351" s="100"/>
      <c r="I351" s="100"/>
      <c r="J351" s="100"/>
    </row>
    <row r="352" spans="1:15">
      <c r="A352" s="100"/>
      <c r="B352" s="103">
        <v>45918</v>
      </c>
      <c r="C352" s="100" t="s">
        <v>1592</v>
      </c>
      <c r="D352" t="s">
        <v>1590</v>
      </c>
      <c r="E352">
        <v>100</v>
      </c>
      <c r="F352" s="99" t="s">
        <v>1591</v>
      </c>
      <c r="G352" s="100"/>
      <c r="H352" s="100"/>
      <c r="I352" s="100"/>
      <c r="J352" s="100"/>
    </row>
    <row r="353" spans="1:15">
      <c r="A353" s="100"/>
      <c r="B353" s="103">
        <v>45923</v>
      </c>
      <c r="C353" s="100" t="s">
        <v>1557</v>
      </c>
      <c r="D353" t="s">
        <v>1593</v>
      </c>
      <c r="E353">
        <v>200</v>
      </c>
      <c r="F353" s="103">
        <v>45930</v>
      </c>
      <c r="G353" s="100" t="s">
        <v>1559</v>
      </c>
      <c r="H353" s="100"/>
      <c r="I353" s="100" t="s">
        <v>1560</v>
      </c>
      <c r="J353" s="100"/>
    </row>
    <row r="354" spans="1:15">
      <c r="A354" s="100" t="str">
        <f t="shared" ref="A354:A355" si="7">IFERROR(G354&amp;"_"&amp;YEAR(B354)&amp;TEXT(MONTH(B354),"00")&amp;TEXT(DAY(B354),"00"),"")</f>
        <v>_20250924</v>
      </c>
      <c r="B354" s="101">
        <v>45924</v>
      </c>
      <c r="C354" s="100" t="s">
        <v>1428</v>
      </c>
      <c r="D354" t="s">
        <v>1594</v>
      </c>
      <c r="E354">
        <v>250</v>
      </c>
      <c r="F354" s="103"/>
      <c r="G354" s="100"/>
      <c r="H354" s="100"/>
      <c r="I354" s="100"/>
      <c r="J354" s="100"/>
    </row>
    <row r="355" spans="1:15">
      <c r="A355" s="100" t="str">
        <f t="shared" si="7"/>
        <v>_20250924</v>
      </c>
      <c r="B355" s="103">
        <v>45924</v>
      </c>
      <c r="C355" s="100" t="s">
        <v>1434</v>
      </c>
      <c r="D355" t="s">
        <v>1595</v>
      </c>
      <c r="E355">
        <v>250</v>
      </c>
      <c r="F355" s="103"/>
      <c r="G355" s="100"/>
      <c r="H355" s="100"/>
      <c r="I355" s="100"/>
      <c r="J355" s="100"/>
    </row>
    <row r="356" spans="1:15">
      <c r="A356" s="100"/>
      <c r="B356" s="103">
        <v>45925</v>
      </c>
      <c r="C356" s="100" t="s">
        <v>1596</v>
      </c>
      <c r="D356" s="135" t="s">
        <v>1597</v>
      </c>
      <c r="E356">
        <v>150</v>
      </c>
      <c r="G356" s="100"/>
      <c r="H356" s="100"/>
      <c r="I356" s="100"/>
      <c r="J356" s="100"/>
      <c r="O356" s="122" t="s">
        <v>1598</v>
      </c>
    </row>
    <row r="357" spans="1:15">
      <c r="A357" s="100"/>
      <c r="B357" s="101">
        <v>45925</v>
      </c>
      <c r="C357" s="100" t="s">
        <v>1599</v>
      </c>
      <c r="D357" t="s">
        <v>1597</v>
      </c>
      <c r="E357">
        <v>150</v>
      </c>
      <c r="G357" s="100"/>
      <c r="H357" s="100"/>
      <c r="I357" s="100"/>
      <c r="J357" s="100"/>
    </row>
    <row r="358" spans="1:15" ht="17.25">
      <c r="A358" s="100"/>
      <c r="B358" s="101">
        <v>45932</v>
      </c>
      <c r="C358" s="100" t="s">
        <v>1600</v>
      </c>
      <c r="D358" s="136" t="s">
        <v>1601</v>
      </c>
      <c r="E358">
        <v>200</v>
      </c>
      <c r="F358" s="103">
        <v>45954</v>
      </c>
      <c r="G358" s="100"/>
      <c r="H358" s="100" t="s">
        <v>1602</v>
      </c>
      <c r="I358" s="100" t="s">
        <v>1603</v>
      </c>
      <c r="J358" s="100" t="s">
        <v>995</v>
      </c>
    </row>
    <row r="359" spans="1:15" ht="17.25">
      <c r="A359" s="100"/>
      <c r="B359" s="101">
        <v>45932</v>
      </c>
      <c r="C359" s="100" t="s">
        <v>1604</v>
      </c>
      <c r="D359" s="136" t="s">
        <v>1601</v>
      </c>
      <c r="E359">
        <v>200</v>
      </c>
      <c r="F359" s="103">
        <v>45954</v>
      </c>
      <c r="G359" s="100"/>
      <c r="H359" s="100" t="s">
        <v>1602</v>
      </c>
      <c r="I359" s="100" t="s">
        <v>1605</v>
      </c>
      <c r="J359" s="100" t="s">
        <v>995</v>
      </c>
      <c r="M359" s="100" t="s">
        <v>1606</v>
      </c>
    </row>
    <row r="360" spans="1:15" ht="17.25">
      <c r="A360" s="100"/>
      <c r="B360" s="103">
        <v>45932</v>
      </c>
      <c r="C360" s="100" t="s">
        <v>1607</v>
      </c>
      <c r="D360" s="136" t="s">
        <v>1601</v>
      </c>
      <c r="E360">
        <v>200</v>
      </c>
      <c r="F360" s="103">
        <v>45954</v>
      </c>
      <c r="G360" s="100"/>
      <c r="H360" s="100" t="s">
        <v>1602</v>
      </c>
      <c r="I360" s="100" t="s">
        <v>1608</v>
      </c>
      <c r="J360" s="100" t="s">
        <v>1609</v>
      </c>
    </row>
    <row r="361" spans="1:15" ht="17.25">
      <c r="A361" s="100" t="str">
        <f t="shared" ref="A361:A363" si="8">IFERROR(G361&amp;"_"&amp;YEAR(B361)&amp;TEXT(MONTH(B361),"00")&amp;TEXT(DAY(B361),"00"),"")</f>
        <v>_20251013</v>
      </c>
      <c r="B361" s="103">
        <v>45943</v>
      </c>
      <c r="C361" s="100" t="s">
        <v>1435</v>
      </c>
      <c r="D361" s="136" t="s">
        <v>1610</v>
      </c>
      <c r="E361">
        <v>300</v>
      </c>
      <c r="F361" s="103">
        <v>45944</v>
      </c>
      <c r="G361" s="100"/>
      <c r="H361" s="100"/>
      <c r="I361" s="100"/>
      <c r="J361" s="100"/>
      <c r="M361" t="s">
        <v>1611</v>
      </c>
    </row>
    <row r="362" spans="1:15" ht="17.25">
      <c r="A362" s="100" t="str">
        <f t="shared" si="8"/>
        <v>_20251013</v>
      </c>
      <c r="B362" s="103">
        <v>45943</v>
      </c>
      <c r="C362" s="100" t="s">
        <v>1431</v>
      </c>
      <c r="D362" s="136" t="s">
        <v>1612</v>
      </c>
      <c r="E362">
        <v>300</v>
      </c>
      <c r="F362" s="103"/>
      <c r="G362" s="100"/>
      <c r="H362" s="100"/>
      <c r="I362" s="100"/>
      <c r="J362" s="100"/>
    </row>
    <row r="363" spans="1:15">
      <c r="A363" s="100" t="str">
        <f t="shared" si="8"/>
        <v>_20251013</v>
      </c>
      <c r="B363" s="103">
        <v>45943</v>
      </c>
      <c r="C363" s="100" t="s">
        <v>1433</v>
      </c>
      <c r="D363" t="s">
        <v>1613</v>
      </c>
      <c r="E363">
        <v>100</v>
      </c>
      <c r="F363" s="103"/>
      <c r="G363" s="100"/>
      <c r="H363" s="100"/>
      <c r="I363" s="100"/>
      <c r="J363" s="100"/>
    </row>
    <row r="364" spans="1:15">
      <c r="A364" s="100"/>
      <c r="B364" s="103">
        <v>45943</v>
      </c>
      <c r="C364" s="100" t="s">
        <v>1587</v>
      </c>
      <c r="D364" t="s">
        <v>1614</v>
      </c>
      <c r="E364">
        <v>200</v>
      </c>
      <c r="F364" s="103"/>
      <c r="G364" s="100"/>
      <c r="H364" s="100"/>
      <c r="I364" s="100"/>
      <c r="J364" s="100"/>
      <c r="M364" t="s">
        <v>1615</v>
      </c>
    </row>
    <row r="365" spans="1:15" ht="17.25">
      <c r="A365" s="100"/>
      <c r="B365" s="103">
        <v>45944</v>
      </c>
      <c r="C365" s="100" t="s">
        <v>1604</v>
      </c>
      <c r="D365" s="136" t="s">
        <v>1616</v>
      </c>
      <c r="E365">
        <v>100</v>
      </c>
      <c r="F365" s="103">
        <v>45945</v>
      </c>
      <c r="G365" s="100"/>
      <c r="H365" s="100" t="s">
        <v>1602</v>
      </c>
      <c r="I365" s="100" t="s">
        <v>1605</v>
      </c>
      <c r="J365" s="100" t="s">
        <v>995</v>
      </c>
      <c r="M365" s="100" t="s">
        <v>1617</v>
      </c>
    </row>
    <row r="366" spans="1:15">
      <c r="A366" s="100"/>
      <c r="B366" s="103">
        <v>45945</v>
      </c>
      <c r="C366" s="100" t="s">
        <v>1561</v>
      </c>
      <c r="D366" s="133" t="s">
        <v>1618</v>
      </c>
      <c r="E366">
        <v>600</v>
      </c>
      <c r="F366" s="103">
        <v>45951</v>
      </c>
      <c r="G366" s="100"/>
      <c r="H366" s="100"/>
      <c r="I366" s="100"/>
      <c r="J366" s="100"/>
    </row>
    <row r="367" spans="1:15">
      <c r="A367" s="100"/>
      <c r="B367" s="103">
        <v>45945</v>
      </c>
      <c r="C367" s="100" t="s">
        <v>1563</v>
      </c>
      <c r="D367" s="133" t="s">
        <v>1618</v>
      </c>
      <c r="E367">
        <v>600</v>
      </c>
      <c r="F367" s="103">
        <v>45951</v>
      </c>
      <c r="G367" s="100"/>
      <c r="H367" s="100"/>
      <c r="I367" s="100"/>
      <c r="J367" s="100"/>
    </row>
    <row r="368" spans="1:15">
      <c r="A368" s="100"/>
      <c r="B368" s="103">
        <v>45945</v>
      </c>
      <c r="C368" s="100" t="s">
        <v>1565</v>
      </c>
      <c r="D368" s="133" t="s">
        <v>1619</v>
      </c>
      <c r="E368">
        <v>400</v>
      </c>
      <c r="F368" s="103">
        <v>45951</v>
      </c>
      <c r="G368" s="100"/>
      <c r="H368" s="100"/>
      <c r="I368" s="100"/>
      <c r="J368" s="100"/>
    </row>
    <row r="369" spans="1:13">
      <c r="A369" s="100"/>
      <c r="B369" s="103">
        <v>45945</v>
      </c>
      <c r="C369" s="100" t="s">
        <v>1567</v>
      </c>
      <c r="D369" s="133" t="s">
        <v>1619</v>
      </c>
      <c r="E369">
        <v>400</v>
      </c>
      <c r="F369" s="103">
        <v>45951</v>
      </c>
      <c r="G369" s="100"/>
      <c r="H369" s="100"/>
      <c r="I369" s="100"/>
      <c r="J369" s="100"/>
    </row>
    <row r="370" spans="1:13" ht="17.25">
      <c r="A370" s="100"/>
      <c r="B370" s="103">
        <v>45945</v>
      </c>
      <c r="C370" s="100" t="s">
        <v>1600</v>
      </c>
      <c r="D370" s="136" t="s">
        <v>1620</v>
      </c>
      <c r="E370">
        <v>100</v>
      </c>
      <c r="F370" s="103">
        <v>45946</v>
      </c>
      <c r="G370" s="100"/>
      <c r="H370" s="100" t="s">
        <v>1602</v>
      </c>
      <c r="I370" s="100" t="s">
        <v>1603</v>
      </c>
      <c r="J370" s="100" t="s">
        <v>995</v>
      </c>
    </row>
    <row r="371" spans="1:13">
      <c r="A371" s="100" t="str">
        <f t="shared" ref="A371:A372" si="9">IFERROR(G371&amp;"_"&amp;YEAR(B371)&amp;TEXT(MONTH(B371),"00")&amp;TEXT(DAY(B371),"00"),"")</f>
        <v>_20251016</v>
      </c>
      <c r="B371" s="103">
        <v>45946</v>
      </c>
      <c r="C371" s="100" t="s">
        <v>1433</v>
      </c>
      <c r="D371" t="s">
        <v>1613</v>
      </c>
      <c r="E371">
        <v>100</v>
      </c>
      <c r="F371" s="103">
        <v>45947</v>
      </c>
      <c r="G371" s="100"/>
      <c r="H371" s="100"/>
      <c r="I371" s="100"/>
      <c r="J371" s="100"/>
    </row>
    <row r="372" spans="1:13">
      <c r="A372" s="100" t="str">
        <f t="shared" si="9"/>
        <v>_20251016</v>
      </c>
      <c r="B372" s="103">
        <v>45946</v>
      </c>
      <c r="C372" s="100" t="s">
        <v>1432</v>
      </c>
      <c r="E372">
        <v>100</v>
      </c>
      <c r="F372" s="103">
        <v>45947</v>
      </c>
      <c r="G372" s="100"/>
      <c r="H372" s="100"/>
      <c r="I372" s="100"/>
      <c r="J372" s="100"/>
    </row>
    <row r="373" spans="1:13">
      <c r="A373" s="100"/>
      <c r="B373" s="103">
        <v>45947</v>
      </c>
      <c r="C373" s="100" t="s">
        <v>1621</v>
      </c>
      <c r="D373" t="s">
        <v>1622</v>
      </c>
      <c r="E373">
        <v>100</v>
      </c>
      <c r="F373" s="103">
        <v>45951</v>
      </c>
      <c r="G373" s="100"/>
      <c r="H373" s="100"/>
      <c r="I373" s="100"/>
      <c r="J373" s="100"/>
    </row>
    <row r="374" spans="1:13">
      <c r="A374" s="100"/>
      <c r="B374" s="103">
        <v>45947</v>
      </c>
      <c r="C374" s="100" t="s">
        <v>1623</v>
      </c>
      <c r="D374" t="s">
        <v>1624</v>
      </c>
      <c r="E374">
        <v>100</v>
      </c>
      <c r="F374" s="103">
        <v>45951</v>
      </c>
      <c r="G374" s="100"/>
      <c r="H374" s="100"/>
      <c r="I374" s="100"/>
      <c r="J374" s="100"/>
    </row>
    <row r="375" spans="1:13">
      <c r="A375" s="100"/>
      <c r="B375" s="103">
        <v>45947</v>
      </c>
      <c r="C375" s="100" t="s">
        <v>1625</v>
      </c>
      <c r="D375" t="s">
        <v>1624</v>
      </c>
      <c r="E375">
        <v>100</v>
      </c>
      <c r="F375" s="103">
        <v>45951</v>
      </c>
      <c r="G375" s="100"/>
      <c r="H375" s="100"/>
      <c r="I375" s="100"/>
      <c r="J375" s="100"/>
    </row>
    <row r="376" spans="1:13">
      <c r="A376" s="100"/>
      <c r="B376" s="103">
        <v>45947</v>
      </c>
      <c r="C376" s="100" t="s">
        <v>1626</v>
      </c>
      <c r="D376" t="s">
        <v>1627</v>
      </c>
      <c r="E376">
        <v>5000</v>
      </c>
      <c r="F376" s="103">
        <v>45953</v>
      </c>
      <c r="G376" s="100"/>
      <c r="H376" s="100"/>
      <c r="I376" s="100"/>
      <c r="J376" s="100"/>
    </row>
    <row r="377" spans="1:13" ht="17.25">
      <c r="A377" s="100" t="str">
        <f t="shared" ref="A377:A380" si="10">IFERROR(G377&amp;"_"&amp;YEAR(B377)&amp;TEXT(MONTH(B377),"00")&amp;TEXT(DAY(B377),"00"),"")</f>
        <v>_20251021</v>
      </c>
      <c r="B377" s="103">
        <v>45951</v>
      </c>
      <c r="C377" s="100" t="s">
        <v>1431</v>
      </c>
      <c r="D377" s="136" t="s">
        <v>1628</v>
      </c>
      <c r="E377">
        <v>200</v>
      </c>
      <c r="F377" s="103">
        <v>45957</v>
      </c>
      <c r="G377" s="100"/>
      <c r="H377" s="100"/>
      <c r="I377" s="100"/>
      <c r="J377" s="100"/>
    </row>
    <row r="378" spans="1:13">
      <c r="A378" s="100" t="str">
        <f t="shared" si="10"/>
        <v>_20251021</v>
      </c>
      <c r="B378" s="103">
        <v>45951</v>
      </c>
      <c r="C378" s="100" t="s">
        <v>1428</v>
      </c>
      <c r="D378" t="s">
        <v>1629</v>
      </c>
      <c r="E378">
        <v>200</v>
      </c>
      <c r="F378" s="103">
        <v>45957</v>
      </c>
      <c r="G378" s="100"/>
      <c r="H378" s="100"/>
      <c r="I378" s="100"/>
      <c r="J378" s="100"/>
    </row>
    <row r="379" spans="1:13">
      <c r="A379" s="100" t="str">
        <f t="shared" si="10"/>
        <v>_20251021</v>
      </c>
      <c r="B379" s="103">
        <v>45951</v>
      </c>
      <c r="C379" s="100" t="s">
        <v>1430</v>
      </c>
      <c r="D379" t="s">
        <v>1629</v>
      </c>
      <c r="E379">
        <v>150</v>
      </c>
      <c r="F379" s="103">
        <v>45957</v>
      </c>
      <c r="G379" s="100"/>
      <c r="H379" s="100"/>
      <c r="I379" s="100"/>
      <c r="J379" s="100"/>
    </row>
    <row r="380" spans="1:13">
      <c r="A380" s="100" t="str">
        <f t="shared" si="10"/>
        <v>_20251022</v>
      </c>
      <c r="B380" s="103">
        <v>45952</v>
      </c>
      <c r="C380" s="124" t="s">
        <v>942</v>
      </c>
      <c r="D380" t="s">
        <v>1630</v>
      </c>
      <c r="E380">
        <v>200</v>
      </c>
      <c r="F380" s="103">
        <v>45958</v>
      </c>
      <c r="G380" s="100" t="str">
        <f>IFERROR(VLOOKUP($C380,[5]!BOM_개발품목_1[[제품명]:[사양]],4,0),"")</f>
        <v/>
      </c>
      <c r="H380" s="100" t="str">
        <f>IFERROR(VLOOKUP($C380,[5]!BOM_개발품목_1[[제품명]:[사양]],2,0),"")</f>
        <v/>
      </c>
      <c r="I380" s="100" t="str">
        <f>IFERROR(VLOOKUP($C380,[5]!BOM_개발품목_1[[제품명]:[사양]],5,0),"")</f>
        <v/>
      </c>
      <c r="J380" s="100"/>
    </row>
    <row r="381" spans="1:13">
      <c r="A381" s="100"/>
      <c r="B381" s="103">
        <v>45952</v>
      </c>
      <c r="C381" s="100" t="s">
        <v>915</v>
      </c>
      <c r="D381" t="s">
        <v>1631</v>
      </c>
      <c r="E381">
        <v>120</v>
      </c>
      <c r="F381" s="103">
        <v>45959</v>
      </c>
      <c r="G381" s="100" t="str">
        <f>IFERROR(VLOOKUP($C381,[5]!BOM_개발품목_1[[제품명]:[사양]],4,0),"")</f>
        <v/>
      </c>
      <c r="H381" s="100" t="str">
        <f>IFERROR(VLOOKUP($C381,[5]!BOM_개발품목_1[[제품명]:[사양]],2,0),"")</f>
        <v/>
      </c>
      <c r="I381" s="100" t="str">
        <f>IFERROR(VLOOKUP($C381,[5]!BOM_개발품목_1[[제품명]:[사양]],5,0),"")</f>
        <v/>
      </c>
      <c r="J381" s="100"/>
    </row>
    <row r="382" spans="1:13">
      <c r="A382" s="100" t="str">
        <f t="shared" ref="A382:A385" si="11">IFERROR(G382&amp;"_"&amp;YEAR(B382)&amp;TEXT(MONTH(B382),"00")&amp;TEXT(DAY(B382),"00"),"")</f>
        <v>_20251023</v>
      </c>
      <c r="B382" s="103">
        <v>45953</v>
      </c>
      <c r="C382" s="100" t="s">
        <v>1433</v>
      </c>
      <c r="D382" t="s">
        <v>1632</v>
      </c>
      <c r="E382">
        <v>200</v>
      </c>
      <c r="F382" s="103">
        <v>45957</v>
      </c>
      <c r="G382" s="100"/>
      <c r="H382" s="100"/>
      <c r="I382" s="100"/>
      <c r="J382" s="100"/>
    </row>
    <row r="383" spans="1:13">
      <c r="A383" s="100" t="str">
        <f t="shared" si="11"/>
        <v>_20251023</v>
      </c>
      <c r="B383" s="103">
        <v>45953</v>
      </c>
      <c r="C383" s="100" t="s">
        <v>1432</v>
      </c>
      <c r="D383" t="s">
        <v>1633</v>
      </c>
      <c r="E383">
        <v>200</v>
      </c>
      <c r="F383" s="103">
        <v>45957</v>
      </c>
      <c r="G383" s="100"/>
      <c r="H383" s="100"/>
      <c r="I383" s="100"/>
      <c r="J383" s="100"/>
    </row>
    <row r="384" spans="1:13">
      <c r="A384" s="100" t="str">
        <f t="shared" si="11"/>
        <v>_20251023</v>
      </c>
      <c r="B384" s="103">
        <v>45953</v>
      </c>
      <c r="C384" s="100" t="s">
        <v>1435</v>
      </c>
      <c r="D384" s="137" t="s">
        <v>1633</v>
      </c>
      <c r="E384">
        <v>300</v>
      </c>
      <c r="F384" s="103">
        <v>45957</v>
      </c>
      <c r="G384" s="100"/>
      <c r="H384" s="100"/>
      <c r="I384" s="100"/>
      <c r="J384" s="100"/>
      <c r="M384" t="s">
        <v>1611</v>
      </c>
    </row>
    <row r="385" spans="1:13">
      <c r="A385" s="100" t="str">
        <f t="shared" si="11"/>
        <v>_20251023</v>
      </c>
      <c r="B385" s="103">
        <v>45953</v>
      </c>
      <c r="C385" s="100" t="s">
        <v>1434</v>
      </c>
      <c r="D385" t="s">
        <v>1633</v>
      </c>
      <c r="E385">
        <v>250</v>
      </c>
      <c r="F385" s="103">
        <v>45957</v>
      </c>
      <c r="G385" s="100"/>
      <c r="H385" s="100"/>
      <c r="I385" s="100"/>
      <c r="J385" s="100"/>
    </row>
    <row r="386" spans="1:13">
      <c r="A386" s="100"/>
      <c r="B386" s="103">
        <v>45958</v>
      </c>
      <c r="C386" s="99" t="s">
        <v>1650</v>
      </c>
      <c r="D386" s="107" t="s">
        <v>1651</v>
      </c>
      <c r="E386">
        <v>100</v>
      </c>
      <c r="F386" s="103">
        <v>45966</v>
      </c>
      <c r="G386" s="100"/>
      <c r="H386" s="100"/>
      <c r="I386" s="100"/>
      <c r="J386" s="100"/>
    </row>
    <row r="387" spans="1:13">
      <c r="A387" s="100"/>
      <c r="B387" s="103">
        <v>45958</v>
      </c>
      <c r="C387" s="99" t="s">
        <v>1652</v>
      </c>
      <c r="D387" s="107" t="s">
        <v>1651</v>
      </c>
      <c r="E387">
        <v>100</v>
      </c>
      <c r="F387" s="103">
        <v>45966</v>
      </c>
      <c r="G387" s="100"/>
      <c r="H387" s="100"/>
      <c r="I387" s="100"/>
      <c r="J387" s="100"/>
    </row>
    <row r="388" spans="1:13">
      <c r="A388" s="100"/>
      <c r="B388" s="103">
        <v>45958</v>
      </c>
      <c r="C388" s="99" t="s">
        <v>1653</v>
      </c>
      <c r="D388" t="s">
        <v>1654</v>
      </c>
      <c r="G388" s="100"/>
      <c r="H388" s="100"/>
      <c r="I388" s="100"/>
      <c r="J388" s="100"/>
    </row>
    <row r="389" spans="1:13">
      <c r="A389" s="100"/>
      <c r="B389" s="103">
        <v>45964</v>
      </c>
      <c r="C389" s="99" t="s">
        <v>1621</v>
      </c>
      <c r="D389" t="s">
        <v>1655</v>
      </c>
      <c r="E389">
        <v>100</v>
      </c>
      <c r="F389" s="103">
        <v>45973</v>
      </c>
      <c r="G389" s="100"/>
      <c r="H389" s="100"/>
      <c r="I389" s="100"/>
      <c r="J389" s="100"/>
    </row>
    <row r="390" spans="1:13">
      <c r="A390" s="100"/>
      <c r="B390" s="103">
        <v>45964</v>
      </c>
      <c r="C390" s="99" t="s">
        <v>1623</v>
      </c>
      <c r="D390" t="s">
        <v>1656</v>
      </c>
      <c r="E390">
        <v>100</v>
      </c>
      <c r="F390" s="103">
        <v>45973</v>
      </c>
      <c r="G390" s="100"/>
      <c r="H390" s="100"/>
      <c r="I390" s="100"/>
      <c r="J390" s="100"/>
    </row>
    <row r="391" spans="1:13">
      <c r="A391" s="100"/>
      <c r="B391" s="103">
        <v>45964</v>
      </c>
      <c r="C391" s="99" t="s">
        <v>1625</v>
      </c>
      <c r="D391" t="s">
        <v>1656</v>
      </c>
      <c r="E391">
        <v>100</v>
      </c>
      <c r="F391" s="103">
        <v>45973</v>
      </c>
      <c r="G391" s="100"/>
      <c r="H391" s="100"/>
      <c r="I391" s="100"/>
      <c r="J391" s="100"/>
    </row>
    <row r="392" spans="1:13" ht="17.25">
      <c r="A392" s="100"/>
      <c r="B392" s="103">
        <v>45972</v>
      </c>
      <c r="C392" s="99" t="s">
        <v>1604</v>
      </c>
      <c r="D392" s="136" t="s">
        <v>1657</v>
      </c>
      <c r="E392">
        <v>200</v>
      </c>
      <c r="F392" s="103">
        <v>45974</v>
      </c>
      <c r="G392" s="100"/>
      <c r="H392" s="100" t="s">
        <v>1602</v>
      </c>
      <c r="I392" s="100" t="s">
        <v>1605</v>
      </c>
      <c r="J392" s="100" t="s">
        <v>995</v>
      </c>
      <c r="M392" s="100" t="s">
        <v>1658</v>
      </c>
    </row>
    <row r="393" spans="1:13">
      <c r="A393" s="100" t="str">
        <f t="shared" ref="A393" si="12">IFERROR(G393&amp;"_"&amp;YEAR(B393)&amp;TEXT(MONTH(B393),"00")&amp;TEXT(DAY(B393),"00"),"")</f>
        <v>_20251111</v>
      </c>
      <c r="B393" s="103">
        <v>45972</v>
      </c>
      <c r="C393" s="99" t="s">
        <v>945</v>
      </c>
      <c r="D393" s="107" t="s">
        <v>1659</v>
      </c>
      <c r="E393">
        <v>100</v>
      </c>
      <c r="F393" s="103">
        <v>45975</v>
      </c>
      <c r="G393" s="100" t="str">
        <f>IFERROR(VLOOKUP($C393,[5]!BOM_개발품목_1[[제품명]:[사양]],4,0),"")</f>
        <v/>
      </c>
      <c r="H393" s="100" t="str">
        <f>IFERROR(VLOOKUP($C393,[5]!BOM_개발품목_1[[제품명]:[사양]],2,0),"")</f>
        <v/>
      </c>
      <c r="I393" s="100" t="str">
        <f>IFERROR(VLOOKUP($C393,[5]!BOM_개발품목_1[[제품명]:[사양]],5,0),"")</f>
        <v/>
      </c>
      <c r="J393" s="100" t="str">
        <f>IFERROR(VLOOKUP($C393,[5]!BOM_개발품목_1[[제품명]:[사양]],7,0),"")</f>
        <v/>
      </c>
    </row>
    <row r="394" spans="1:13">
      <c r="A394" s="100"/>
      <c r="B394" s="103">
        <v>45974</v>
      </c>
      <c r="C394" s="99" t="s">
        <v>1660</v>
      </c>
      <c r="D394" t="s">
        <v>1661</v>
      </c>
      <c r="E394">
        <v>200</v>
      </c>
      <c r="G394" s="100"/>
      <c r="H394" s="100"/>
      <c r="I394" s="100"/>
      <c r="J394" s="100"/>
    </row>
    <row r="395" spans="1:13">
      <c r="A395" s="100"/>
      <c r="B395" s="103">
        <v>45974</v>
      </c>
      <c r="C395" s="99" t="s">
        <v>1662</v>
      </c>
      <c r="D395" t="s">
        <v>1663</v>
      </c>
      <c r="E395">
        <v>100</v>
      </c>
      <c r="G395" s="100"/>
      <c r="H395" s="100"/>
      <c r="I395" s="100"/>
      <c r="J395" s="100"/>
    </row>
    <row r="396" spans="1:13">
      <c r="A396" s="100"/>
      <c r="B396" s="103">
        <v>45974</v>
      </c>
      <c r="C396" s="99" t="s">
        <v>1664</v>
      </c>
      <c r="D396" t="s">
        <v>1663</v>
      </c>
      <c r="E396">
        <v>100</v>
      </c>
      <c r="G396" s="100"/>
      <c r="H396" s="100"/>
      <c r="I396" s="100"/>
      <c r="J396" s="100"/>
    </row>
    <row r="397" spans="1:13">
      <c r="A397" s="100"/>
      <c r="B397" s="103">
        <v>45974</v>
      </c>
      <c r="C397" s="99" t="s">
        <v>1665</v>
      </c>
      <c r="D397" t="s">
        <v>1666</v>
      </c>
      <c r="E397">
        <v>100</v>
      </c>
      <c r="G397" s="100"/>
      <c r="H397" s="100"/>
      <c r="I397" s="100"/>
      <c r="J397" s="100"/>
    </row>
    <row r="398" spans="1:13">
      <c r="A398" s="100" t="str">
        <f t="shared" ref="A398:A401" si="13">IFERROR(G398&amp;"_"&amp;YEAR(B398)&amp;TEXT(MONTH(B398),"00")&amp;TEXT(DAY(B398),"00"),"")</f>
        <v>_20251114</v>
      </c>
      <c r="B398" s="108">
        <v>45975</v>
      </c>
      <c r="C398" s="145" t="s">
        <v>937</v>
      </c>
      <c r="D398" t="s">
        <v>1667</v>
      </c>
      <c r="E398">
        <v>150</v>
      </c>
      <c r="F398" s="103"/>
      <c r="G398" s="100" t="str">
        <f>IFERROR(VLOOKUP($C398,[5]!BOM_개발품목_1[[제품명]:[사양]],4,0),"")</f>
        <v/>
      </c>
      <c r="H398" s="100" t="str">
        <f>IFERROR(VLOOKUP($C398,[5]!BOM_개발품목_1[[제품명]:[사양]],2,0),"")</f>
        <v/>
      </c>
      <c r="I398" s="100" t="str">
        <f>IFERROR(VLOOKUP($C398,[5]!BOM_개발품목_1[[제품명]:[사양]],5,0),"")</f>
        <v/>
      </c>
      <c r="J398" s="100" t="str">
        <f>IFERROR(VLOOKUP($C398,[5]!BOM_개발품목_1[[제품명]:[사양]],7,0),"")</f>
        <v/>
      </c>
    </row>
    <row r="399" spans="1:13">
      <c r="A399" s="100" t="str">
        <f t="shared" si="13"/>
        <v>_20251114</v>
      </c>
      <c r="B399" s="103">
        <v>45975</v>
      </c>
      <c r="C399" s="146" t="s">
        <v>940</v>
      </c>
      <c r="D399" t="s">
        <v>1667</v>
      </c>
      <c r="E399">
        <v>150</v>
      </c>
      <c r="F399" s="103">
        <v>45906</v>
      </c>
      <c r="G399" s="100" t="str">
        <f>IFERROR(VLOOKUP($C399,[5]!BOM_개발품목_1[[제품명]:[사양]],4,0),"")</f>
        <v/>
      </c>
      <c r="H399" s="100" t="str">
        <f>IFERROR(VLOOKUP($C399,[5]!BOM_개발품목_1[[제품명]:[사양]],2,0),"")</f>
        <v/>
      </c>
      <c r="I399" s="100" t="str">
        <f>IFERROR(VLOOKUP($C399,[5]!BOM_개발품목_1[[제품명]:[사양]],5,0),"")</f>
        <v/>
      </c>
      <c r="J399" s="100" t="str">
        <f>IFERROR(VLOOKUP($C399,[5]!BOM_개발품목_1[[제품명]:[사양]],7,0),"")</f>
        <v/>
      </c>
    </row>
    <row r="400" spans="1:13">
      <c r="A400" s="100" t="str">
        <f t="shared" si="13"/>
        <v>_20251114</v>
      </c>
      <c r="B400" s="103">
        <v>45975</v>
      </c>
      <c r="C400" s="145" t="s">
        <v>938</v>
      </c>
      <c r="D400" t="s">
        <v>1668</v>
      </c>
      <c r="E400">
        <v>100</v>
      </c>
      <c r="F400" s="103"/>
      <c r="G400" s="100" t="str">
        <f>IFERROR(VLOOKUP($C400,[5]!BOM_개발품목_1[[제품명]:[사양]],4,0),"")</f>
        <v/>
      </c>
      <c r="H400" s="100" t="str">
        <f>IFERROR(VLOOKUP($C400,[5]!BOM_개발품목_1[[제품명]:[사양]],2,0),"")</f>
        <v/>
      </c>
      <c r="I400" s="100" t="str">
        <f>IFERROR(VLOOKUP($C400,[5]!BOM_개발품목_1[[제품명]:[사양]],5,0),"")</f>
        <v/>
      </c>
      <c r="J400" s="100" t="str">
        <f>IFERROR(VLOOKUP($C400,[5]!BOM_개발품목_1[[제품명]:[사양]],7,0),"")</f>
        <v/>
      </c>
    </row>
    <row r="401" spans="1:10">
      <c r="A401" s="100" t="str">
        <f t="shared" si="13"/>
        <v>_20251114</v>
      </c>
      <c r="B401" s="103">
        <v>45975</v>
      </c>
      <c r="C401" s="145" t="s">
        <v>934</v>
      </c>
      <c r="D401" t="s">
        <v>1669</v>
      </c>
      <c r="E401">
        <v>100</v>
      </c>
      <c r="F401" s="103"/>
      <c r="G401" s="100" t="str">
        <f>IFERROR(VLOOKUP($C401,[5]!BOM_개발품목_1[[제품명]:[사양]],4,0),"")</f>
        <v/>
      </c>
      <c r="H401" s="100" t="str">
        <f>IFERROR(VLOOKUP($C401,[5]!BOM_개발품목_1[[제품명]:[사양]],2,0),"")</f>
        <v/>
      </c>
      <c r="I401" s="100" t="str">
        <f>IFERROR(VLOOKUP($C401,[5]!BOM_개발품목_1[[제품명]:[사양]],5,0),"")</f>
        <v/>
      </c>
      <c r="J401" s="100" t="str">
        <f>IFERROR(VLOOKUP($C401,[5]!BOM_개발품목_1[[제품명]:[사양]],7,0),"")</f>
        <v/>
      </c>
    </row>
  </sheetData>
  <phoneticPr fontId="1" type="noConversion"/>
  <conditionalFormatting sqref="C167">
    <cfRule type="duplicateValues" dxfId="54" priority="3"/>
    <cfRule type="duplicateValues" dxfId="53" priority="4"/>
  </conditionalFormatting>
  <conditionalFormatting sqref="C187">
    <cfRule type="duplicateValues" dxfId="52" priority="1"/>
    <cfRule type="duplicateValues" dxfId="51" priority="2"/>
  </conditionalFormatting>
  <conditionalFormatting sqref="G2:G401">
    <cfRule type="duplicateValues" dxfId="50" priority="5"/>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efreshExperimentData">
                <anchor moveWithCells="1" sizeWithCells="1">
                  <from>
                    <xdr:col>0</xdr:col>
                    <xdr:colOff>476250</xdr:colOff>
                    <xdr:row>0</xdr:row>
                    <xdr:rowOff>219075</xdr:rowOff>
                  </from>
                  <to>
                    <xdr:col>2</xdr:col>
                    <xdr:colOff>1581150</xdr:colOff>
                    <xdr:row>0</xdr:row>
                    <xdr:rowOff>809625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056C1-35B0-4DDD-AB42-56B0AF03D525}">
  <sheetPr codeName="Sheet2">
    <tabColor theme="8" tint="-0.249977111117893"/>
  </sheetPr>
  <dimension ref="A1:T491"/>
  <sheetViews>
    <sheetView tabSelected="1" zoomScale="85" zoomScaleNormal="85" workbookViewId="0">
      <pane xSplit="6" ySplit="1" topLeftCell="G194" activePane="bottomRight" state="frozen"/>
      <selection activeCell="B4" sqref="B4"/>
      <selection pane="topRight" activeCell="B4" sqref="B4"/>
      <selection pane="bottomLeft" activeCell="B4" sqref="B4"/>
      <selection pane="bottomRight" activeCell="A355" sqref="A355"/>
    </sheetView>
  </sheetViews>
  <sheetFormatPr defaultRowHeight="30" customHeight="1"/>
  <cols>
    <col min="1" max="1" width="18.875" style="58" bestFit="1" customWidth="1"/>
    <col min="2" max="2" width="65.5" style="58" customWidth="1"/>
    <col min="3" max="3" width="17.125" style="58" customWidth="1"/>
    <col min="4" max="4" width="11.125" style="69" bestFit="1" customWidth="1"/>
    <col min="5" max="5" width="14.875" bestFit="1" customWidth="1"/>
    <col min="6" max="6" width="8.625" customWidth="1"/>
    <col min="7" max="7" width="20.875" style="1" customWidth="1"/>
    <col min="8" max="8" width="19.625" customWidth="1"/>
    <col min="9" max="9" width="7.625" customWidth="1"/>
    <col min="10" max="10" width="7.375" style="46" customWidth="1"/>
    <col min="11" max="11" width="11.625" style="74" bestFit="1" customWidth="1"/>
    <col min="12" max="12" width="27.375" style="46" bestFit="1" customWidth="1"/>
    <col min="13" max="13" width="7.625" style="58" customWidth="1"/>
    <col min="14" max="14" width="35.375" style="58" customWidth="1"/>
    <col min="15" max="15" width="10.625" style="58" customWidth="1"/>
    <col min="16" max="16" width="26" style="58" bestFit="1" customWidth="1"/>
    <col min="17" max="17" width="28.5" style="58" bestFit="1" customWidth="1"/>
    <col min="18" max="18" width="6.625" style="58" customWidth="1"/>
    <col min="19" max="19" width="72.875" style="58" bestFit="1" customWidth="1"/>
    <col min="20" max="20" width="10.875" style="1" customWidth="1"/>
    <col min="21" max="21" width="26.875" bestFit="1" customWidth="1"/>
    <col min="22" max="22" width="28.125" bestFit="1" customWidth="1"/>
    <col min="23" max="23" width="6.125" customWidth="1"/>
  </cols>
  <sheetData>
    <row r="1" spans="1:20" s="67" customFormat="1" ht="69.95" customHeight="1">
      <c r="A1" s="62" t="s">
        <v>10</v>
      </c>
      <c r="B1" s="62" t="s">
        <v>0</v>
      </c>
      <c r="C1" s="62" t="s">
        <v>9</v>
      </c>
      <c r="D1" s="68" t="s">
        <v>11</v>
      </c>
      <c r="E1" s="63" t="s">
        <v>73</v>
      </c>
      <c r="F1" s="64" t="s">
        <v>17</v>
      </c>
      <c r="G1" s="64" t="s">
        <v>12</v>
      </c>
      <c r="H1" s="64" t="s">
        <v>13</v>
      </c>
      <c r="I1" s="64" t="s">
        <v>14</v>
      </c>
      <c r="J1" s="65" t="s">
        <v>21</v>
      </c>
      <c r="K1" s="73" t="s">
        <v>172</v>
      </c>
      <c r="L1" s="65" t="s">
        <v>173</v>
      </c>
      <c r="M1" s="62" t="s">
        <v>4</v>
      </c>
      <c r="N1" s="62" t="s">
        <v>3</v>
      </c>
      <c r="O1" s="66" t="s">
        <v>5</v>
      </c>
      <c r="P1" s="62" t="s">
        <v>6</v>
      </c>
      <c r="Q1" s="62" t="s">
        <v>7</v>
      </c>
      <c r="R1" s="62" t="s">
        <v>8</v>
      </c>
      <c r="S1" s="62" t="s">
        <v>151</v>
      </c>
      <c r="T1" s="67" t="s">
        <v>287</v>
      </c>
    </row>
    <row r="2" spans="1:20" ht="30" customHeight="1">
      <c r="A2" s="58" t="s">
        <v>72</v>
      </c>
      <c r="B2" s="58" t="str">
        <f>IFERROR(VLOOKUP($A2,[5]실험의뢰_장진영!$A:$M,3,0),"")</f>
        <v>설화수 진설클렌징폼 150ml (25AD 외캡</v>
      </c>
      <c r="C2" s="58" t="str">
        <f>IFERROR(VLOOKUP($A2,[5]실험의뢰_장진영!$A:$M,9,0),"")</f>
        <v>M241246_01</v>
      </c>
      <c r="D2" s="69" t="str">
        <f>IFERROR(VLOOKUP($A2,[5]실험의뢰_장진영!$A:$M,7,0),"")</f>
        <v>SI1538</v>
      </c>
      <c r="E2" s="1">
        <v>45579</v>
      </c>
      <c r="F2" t="s">
        <v>74</v>
      </c>
      <c r="G2" t="s">
        <v>75</v>
      </c>
      <c r="H2" t="s">
        <v>76</v>
      </c>
      <c r="I2" s="3">
        <v>4</v>
      </c>
      <c r="J2" s="46">
        <v>24</v>
      </c>
      <c r="L2" s="46" t="str">
        <f>실험지시[[#This Row],[금형코드]]</f>
        <v>M241246_01</v>
      </c>
      <c r="M2" s="57">
        <f>IFERROR(VLOOKUP($A2,[5]실험의뢰_장진영!$A:$M,5,0),"")</f>
        <v>100</v>
      </c>
      <c r="N2" s="58" t="str">
        <f>IFERROR(VLOOKUP($A2,[5]실험의뢰_장진영!$A:$M,4,0),"")</f>
        <v>Gate spray 해결 위한 실험 -&gt; 속도 조절 샘플 확인 후 게이트 수정 요청 예정</v>
      </c>
      <c r="O2" s="59">
        <f>IFERROR(VLOOKUP($A2,[5]실험의뢰_장진영!$A:$M,6,0),"")</f>
        <v>45579</v>
      </c>
      <c r="P2" s="58" t="str">
        <f>IFERROR(VLOOKUP($A2,[5]실험의뢰_장진영!$A:$M,10,0),"")</f>
        <v>PETG (SK케미칼 PN200)</v>
      </c>
      <c r="Q2" s="58" t="str">
        <f>IFERROR(VLOOKUP($A2,[5]실험의뢰_장진영!$A:$M,11,0),"")</f>
        <v>WHITE(타겟참고) SW230727-0</v>
      </c>
      <c r="R2" s="58">
        <f>IFERROR(VLOOKUP($A2,[5]실험의뢰_장진영!$A:$M,12,0),"")</f>
        <v>4</v>
      </c>
      <c r="S2" s="58" t="str">
        <f>IFERROR(VLOOKUP($A2,[5]실험의뢰_장진영!$A:$M,13,0),"")</f>
        <v>실험내용과 샘플 제출 후 수정의뢰 예정입니다. 실험조건 잘 기입 부탁드립니다.</v>
      </c>
      <c r="T2" s="58"/>
    </row>
    <row r="3" spans="1:20" ht="30" customHeight="1">
      <c r="A3" s="58" t="s">
        <v>113</v>
      </c>
      <c r="B3" s="58" t="str">
        <f>IFERROR(VLOOKUP($A3,[5]실험의뢰_장진영!$A:$M,3,0),"")</f>
        <v>아이오페 스템Ⅲ 클리니컬 리커버리 크림 50ML(25) 내용기</v>
      </c>
      <c r="C3" s="58" t="str">
        <f>IFERROR(VLOOKUP($A3,[5]실험의뢰_장진영!$A:$M,9,0),"")</f>
        <v>M241341_01</v>
      </c>
      <c r="D3" s="69" t="str">
        <f>IFERROR(VLOOKUP($A3,[5]실험의뢰_장진영!$A:$M,7,0),"")</f>
        <v>SI1543</v>
      </c>
      <c r="E3" s="1">
        <v>45581</v>
      </c>
      <c r="F3" t="s">
        <v>114</v>
      </c>
      <c r="G3" t="s">
        <v>115</v>
      </c>
      <c r="H3" t="s">
        <v>116</v>
      </c>
      <c r="I3" s="3">
        <v>4</v>
      </c>
      <c r="J3" s="46">
        <v>8</v>
      </c>
      <c r="L3" s="46" t="str">
        <f>실험지시[[#This Row],[금형코드]]</f>
        <v>M241341_01</v>
      </c>
      <c r="M3" s="57">
        <f>IFERROR(VLOOKUP($A3,[5]실험의뢰_장진영!$A:$M,5,0),"")</f>
        <v>100</v>
      </c>
      <c r="N3" s="58" t="str">
        <f>IFERROR(VLOOKUP($A3,[5]실험의뢰_장진영!$A:$M,4,0),"")</f>
        <v>T1 시사출, 치수 및 금형작동 확인, 색상 타겟과 맞춤(필요시 %별로 사출) 합계수량 100EA</v>
      </c>
      <c r="O3" s="59">
        <f>IFERROR(VLOOKUP($A3,[5]실험의뢰_장진영!$A:$M,6,0),"")</f>
        <v>45582</v>
      </c>
      <c r="P3" s="58" t="str">
        <f>IFERROR(VLOOKUP($A3,[5]실험의뢰_장진영!$A:$M,10,0),"")</f>
        <v>PP (롯데케미칼 J-560S)</v>
      </c>
      <c r="Q3" s="58" t="str">
        <f>IFERROR(VLOOKUP($A3,[5]실험의뢰_장진영!$A:$M,11,0),"")</f>
        <v>신원 240911-1</v>
      </c>
      <c r="R3" s="58">
        <f>IFERROR(VLOOKUP($A3,[5]실험의뢰_장진영!$A:$M,12,0),"")</f>
        <v>4</v>
      </c>
      <c r="S3" s="58">
        <f>IFERROR(VLOOKUP($A3,[5]실험의뢰_장진영!$A:$M,13,0),"")</f>
        <v>0</v>
      </c>
      <c r="T3" s="58"/>
    </row>
    <row r="4" spans="1:20" ht="30" customHeight="1">
      <c r="A4" s="58" t="s">
        <v>117</v>
      </c>
      <c r="B4" s="58" t="str">
        <f>IFERROR(VLOOKUP($A4,[5]실험의뢰_장진영!$A:$M,3,0),"")</f>
        <v>아이오페 스템Ⅲ 클리니컬 리커버리 크림 50ML(25) 외캡 사출</v>
      </c>
      <c r="C4" s="58" t="str">
        <f>IFERROR(VLOOKUP($A4,[5]실험의뢰_장진영!$A:$M,9,0),"")</f>
        <v>M241342_01</v>
      </c>
      <c r="D4" s="69" t="str">
        <f>IFERROR(VLOOKUP($A4,[5]실험의뢰_장진영!$A:$M,7,0),"")</f>
        <v>SI1541</v>
      </c>
      <c r="E4" s="1">
        <v>45581</v>
      </c>
      <c r="F4" t="s">
        <v>114</v>
      </c>
      <c r="G4" t="s">
        <v>75</v>
      </c>
      <c r="H4" t="s">
        <v>118</v>
      </c>
      <c r="I4" s="3"/>
      <c r="J4" s="46">
        <v>8</v>
      </c>
      <c r="L4" s="46" t="str">
        <f>실험지시[[#This Row],[금형코드]]</f>
        <v>M241342_01</v>
      </c>
      <c r="M4" s="57">
        <f>IFERROR(VLOOKUP($A4,[5]실험의뢰_장진영!$A:$M,5,0),"")</f>
        <v>100</v>
      </c>
      <c r="N4" s="58" t="str">
        <f>IFERROR(VLOOKUP($A4,[5]실험의뢰_장진영!$A:$M,4,0),"")</f>
        <v>T1 시사출, 치수 및 금형작동 확인, 투명으로 품질 확인 필요</v>
      </c>
      <c r="O4" s="59">
        <f>IFERROR(VLOOKUP($A4,[5]실험의뢰_장진영!$A:$M,6,0),"")</f>
        <v>45582</v>
      </c>
      <c r="P4" s="58" t="str">
        <f>IFERROR(VLOOKUP($A4,[5]실험의뢰_장진영!$A:$M,10,0),"")</f>
        <v>PETG (SK케미칼 PN200)</v>
      </c>
      <c r="Q4" s="58" t="str">
        <f>IFERROR(VLOOKUP($A4,[5]실험의뢰_장진영!$A:$M,11,0),"")</f>
        <v>투명</v>
      </c>
      <c r="R4" s="58">
        <f>IFERROR(VLOOKUP($A4,[5]실험의뢰_장진영!$A:$M,12,0),"")</f>
        <v>0</v>
      </c>
      <c r="S4" s="58">
        <f>IFERROR(VLOOKUP($A4,[5]실험의뢰_장진영!$A:$M,13,0),"")</f>
        <v>0</v>
      </c>
      <c r="T4" s="58"/>
    </row>
    <row r="5" spans="1:20" ht="30" customHeight="1">
      <c r="A5" s="58" t="s">
        <v>143</v>
      </c>
      <c r="B5" s="58" t="str">
        <f>IFERROR(VLOOKUP($A5,[5]실험의뢰_장진영!$A:$M,3,0),"")</f>
        <v>아이오페 스템Ⅲ 클리니컬 리커버리 크림 50ML(25) 캡장식 사출</v>
      </c>
      <c r="C5" s="58" t="str">
        <f>IFERROR(VLOOKUP($A5,[5]실험의뢰_장진영!$A:$M,9,0),"")</f>
        <v>M241344_01</v>
      </c>
      <c r="D5" s="69" t="str">
        <f>IFERROR(VLOOKUP($A5,[5]실험의뢰_장진영!$A:$M,7,0),"")</f>
        <v>SI1540</v>
      </c>
      <c r="E5" s="1">
        <v>45582</v>
      </c>
      <c r="F5" t="s">
        <v>114</v>
      </c>
      <c r="G5" s="1" t="s">
        <v>144</v>
      </c>
      <c r="H5" t="s">
        <v>118</v>
      </c>
      <c r="I5" s="3"/>
      <c r="J5" s="46">
        <v>8</v>
      </c>
      <c r="L5" s="46" t="str">
        <f>실험지시[[#This Row],[금형코드]]</f>
        <v>M241344_01</v>
      </c>
      <c r="M5" s="60">
        <f>IFERROR(VLOOKUP($A5,[5]실험의뢰_장진영!$A:$M,5,0),"")</f>
        <v>100</v>
      </c>
      <c r="N5" s="58" t="str">
        <f>IFERROR(VLOOKUP($A5,[5]실험의뢰_장진영!$A:$M,4,0),"")</f>
        <v>T1 시사출, 치수 및 금형작동 확인</v>
      </c>
      <c r="O5" s="59">
        <f>IFERROR(VLOOKUP($A5,[5]실험의뢰_장진영!$A:$M,6,0),"")</f>
        <v>45582</v>
      </c>
      <c r="P5" s="58" t="str">
        <f>IFERROR(VLOOKUP($A5,[5]실험의뢰_장진영!$A:$M,10,0),"")</f>
        <v>PETG (SK케미칼 PN200)</v>
      </c>
      <c r="Q5" s="58" t="str">
        <f>IFERROR(VLOOKUP($A5,[5]실험의뢰_장진영!$A:$M,11,0),"")</f>
        <v>증착사양</v>
      </c>
      <c r="R5" s="58">
        <f>IFERROR(VLOOKUP($A5,[5]실험의뢰_장진영!$A:$M,12,0),"")</f>
        <v>0</v>
      </c>
      <c r="S5" s="58">
        <f>IFERROR(VLOOKUP($A5,[5]실험의뢰_장진영!$A:$M,13,0),"")</f>
        <v>0</v>
      </c>
      <c r="T5" s="58"/>
    </row>
    <row r="6" spans="1:20" ht="30" customHeight="1">
      <c r="A6" s="58" t="s">
        <v>154</v>
      </c>
      <c r="B6" s="58" t="str">
        <f>IFERROR(VLOOKUP($A6,[5]실험의뢰_장진영!$A:$M,3,0),"")</f>
        <v>일리윤 프로바이오틱스 스킨 배리어 크림 100ML 캡 사출</v>
      </c>
      <c r="C6" s="58" t="str">
        <f>IFERROR(VLOOKUP($A6,[5]실험의뢰_장진영!$A:$M,9,0),"")</f>
        <v>M170748_01, M241294_02</v>
      </c>
      <c r="D6" s="69" t="str">
        <f>IFERROR(VLOOKUP($A6,[5]실험의뢰_장진영!$A:$M,7,0),"")</f>
        <v>SI0993</v>
      </c>
      <c r="E6" s="1">
        <v>45583</v>
      </c>
      <c r="F6" t="s">
        <v>74</v>
      </c>
      <c r="G6" s="1" t="s">
        <v>153</v>
      </c>
      <c r="H6" t="s">
        <v>149</v>
      </c>
      <c r="I6" s="3">
        <v>4</v>
      </c>
      <c r="J6" s="46">
        <v>14</v>
      </c>
      <c r="L6" s="46" t="s">
        <v>174</v>
      </c>
      <c r="M6" s="60">
        <f>IFERROR(VLOOKUP($A6,[5]실험의뢰_장진영!$A:$M,5,0),"")</f>
        <v>50</v>
      </c>
      <c r="N6" s="58" t="str">
        <f>IFERROR(VLOOKUP($A6,[5]실험의뢰_장진영!$A:$M,4,0),"")</f>
        <v>증작금형으로 금형작동 및 치수확인</v>
      </c>
      <c r="O6" s="59">
        <f>IFERROR(VLOOKUP($A6,[5]실험의뢰_장진영!$A:$M,6,0),"")</f>
        <v>45583</v>
      </c>
      <c r="P6" s="58" t="str">
        <f>IFERROR(VLOOKUP($A6,[5]실험의뢰_장진영!$A:$M,10,0),"")</f>
        <v>PP (다원소재 DW-2360)</v>
      </c>
      <c r="Q6" s="58" t="str">
        <f>IFERROR(VLOOKUP($A6,[5]실험의뢰_장진영!$A:$M,11,0),"")</f>
        <v>DJ119</v>
      </c>
      <c r="R6" s="58">
        <f>IFERROR(VLOOKUP($A6,[5]실험의뢰_장진영!$A:$M,12,0),"")</f>
        <v>4</v>
      </c>
      <c r="S6" s="58">
        <f>IFERROR(VLOOKUP($A6,[5]실험의뢰_장진영!$A:$M,13,0),"")</f>
        <v>0</v>
      </c>
      <c r="T6" s="58"/>
    </row>
    <row r="7" spans="1:20" ht="30" customHeight="1">
      <c r="A7" s="58" t="s">
        <v>155</v>
      </c>
      <c r="B7" s="58" t="str">
        <f>IFERROR(VLOOKUP($A7,[5]실험의뢰_장진영!$A:$M,3,0),"")</f>
        <v>일리윤 히알루론모이스춰수분크림 100ML (24 외용기 사출</v>
      </c>
      <c r="C7" s="58" t="str">
        <f>IFERROR(VLOOKUP($A7,[5]실험의뢰_장진영!$A:$M,9,0),"")</f>
        <v>M170746_01, M241296_02</v>
      </c>
      <c r="D7" s="69" t="str">
        <f>IFERROR(VLOOKUP($A7,[5]실험의뢰_장진영!$A:$M,7,0),"")</f>
        <v>SI0992</v>
      </c>
      <c r="E7" s="1">
        <v>45583</v>
      </c>
      <c r="F7" t="s">
        <v>74</v>
      </c>
      <c r="G7" s="1" t="s">
        <v>152</v>
      </c>
      <c r="H7" t="s">
        <v>148</v>
      </c>
      <c r="I7" s="3">
        <v>4</v>
      </c>
      <c r="J7" s="46">
        <v>14</v>
      </c>
      <c r="L7" s="46" t="s">
        <v>175</v>
      </c>
      <c r="M7" s="60">
        <f>IFERROR(VLOOKUP($A7,[5]실험의뢰_장진영!$A:$M,5,0),"")</f>
        <v>50</v>
      </c>
      <c r="N7" s="58" t="str">
        <f>IFERROR(VLOOKUP($A7,[5]실험의뢰_장진영!$A:$M,4,0),"")</f>
        <v>증작금형으로 금형작동 및 치수확인</v>
      </c>
      <c r="O7" s="59">
        <f>IFERROR(VLOOKUP($A7,[5]실험의뢰_장진영!$A:$M,6,0),"")</f>
        <v>45583</v>
      </c>
      <c r="P7" s="58" t="str">
        <f>IFERROR(VLOOKUP($A7,[5]실험의뢰_장진영!$A:$M,10,0),"")</f>
        <v>PP (롯데케미칼 J-560S)</v>
      </c>
      <c r="Q7" s="58" t="str">
        <f>IFERROR(VLOOKUP($A7,[5]실험의뢰_장진영!$A:$M,11,0),"")</f>
        <v>SW210728-8</v>
      </c>
      <c r="R7" s="58">
        <f>IFERROR(VLOOKUP($A7,[5]실험의뢰_장진영!$A:$M,12,0),"")</f>
        <v>4</v>
      </c>
      <c r="S7" s="58">
        <f>IFERROR(VLOOKUP($A7,[5]실험의뢰_장진영!$A:$M,13,0),"")</f>
        <v>0</v>
      </c>
      <c r="T7" s="58"/>
    </row>
    <row r="8" spans="1:20" ht="30" customHeight="1">
      <c r="A8" s="58" t="s">
        <v>156</v>
      </c>
      <c r="B8" s="58" t="str">
        <f>IFERROR(VLOOKUP($A8,[5]실험의뢰_장진영!$A:$M,3,0),"")</f>
        <v>일리윤 히알루론모이스춰수분크림 100ML (21 내용기 사출</v>
      </c>
      <c r="C8" s="58" t="str">
        <f>IFERROR(VLOOKUP($A8,[5]실험의뢰_장진영!$A:$M,9,0),"")</f>
        <v>M170747_01, M241295_02</v>
      </c>
      <c r="D8" s="69" t="str">
        <f>IFERROR(VLOOKUP($A8,[5]실험의뢰_장진영!$A:$M,7,0),"")</f>
        <v>SI0994</v>
      </c>
      <c r="E8" s="1">
        <v>45584</v>
      </c>
      <c r="F8" t="s">
        <v>74</v>
      </c>
      <c r="G8" s="1" t="s">
        <v>157</v>
      </c>
      <c r="H8" t="s">
        <v>147</v>
      </c>
      <c r="I8" s="3">
        <v>3</v>
      </c>
      <c r="J8" s="46">
        <v>14</v>
      </c>
      <c r="L8" s="46" t="s">
        <v>176</v>
      </c>
      <c r="M8" s="60">
        <f>IFERROR(VLOOKUP($A8,[5]실험의뢰_장진영!$A:$M,5,0),"")</f>
        <v>50</v>
      </c>
      <c r="N8" s="58" t="str">
        <f>IFERROR(VLOOKUP($A8,[5]실험의뢰_장진영!$A:$M,4,0),"")</f>
        <v>증작금형으로 금형작동 및 치수확인</v>
      </c>
      <c r="O8" s="59">
        <f>IFERROR(VLOOKUP($A8,[5]실험의뢰_장진영!$A:$M,6,0),"")</f>
        <v>45583</v>
      </c>
      <c r="P8" s="58" t="str">
        <f>IFERROR(VLOOKUP($A8,[5]실험의뢰_장진영!$A:$M,10,0),"")</f>
        <v>PP (롯데케미칼 J-560S)</v>
      </c>
      <c r="Q8" s="58" t="str">
        <f>IFERROR(VLOOKUP($A8,[5]실험의뢰_장진영!$A:$M,11,0),"")</f>
        <v>KS360-1</v>
      </c>
      <c r="R8" s="58">
        <f>IFERROR(VLOOKUP($A8,[5]실험의뢰_장진영!$A:$M,12,0),"")</f>
        <v>3</v>
      </c>
      <c r="S8" s="58">
        <f>IFERROR(VLOOKUP($A8,[5]실험의뢰_장진영!$A:$M,13,0),"")</f>
        <v>0</v>
      </c>
      <c r="T8" s="58"/>
    </row>
    <row r="9" spans="1:20" ht="30" customHeight="1">
      <c r="A9" s="58" t="s">
        <v>158</v>
      </c>
      <c r="B9" s="58" t="str">
        <f>IFERROR(VLOOKUP($A9,[5]실험의뢰_장진영!$A:$M,3,0),"")</f>
        <v>아이오페 스템Ⅲ 클리니컬 리커버리 크림 50ML(25) 내캡 사출</v>
      </c>
      <c r="C9" s="58" t="str">
        <f>IFERROR(VLOOKUP($A9,[5]실험의뢰_장진영!$A:$M,9,0),"")</f>
        <v>M241343_01</v>
      </c>
      <c r="D9" s="69" t="str">
        <f>IFERROR(VLOOKUP($A9,[5]실험의뢰_장진영!$A:$M,7,0),"")</f>
        <v>SI1542</v>
      </c>
      <c r="E9" s="1">
        <v>45584</v>
      </c>
      <c r="F9" t="s">
        <v>74</v>
      </c>
      <c r="G9" s="1" t="s">
        <v>157</v>
      </c>
      <c r="H9" t="s">
        <v>147</v>
      </c>
      <c r="I9" s="3">
        <v>4</v>
      </c>
      <c r="J9" s="46">
        <v>14</v>
      </c>
      <c r="L9" s="46" t="str">
        <f>실험지시[[#This Row],[금형코드]]</f>
        <v>M241343_01</v>
      </c>
      <c r="M9" s="60">
        <f>IFERROR(VLOOKUP($A9,[5]실험의뢰_장진영!$A:$M,5,0),"")</f>
        <v>100</v>
      </c>
      <c r="N9" s="58" t="str">
        <f>IFERROR(VLOOKUP($A9,[5]실험의뢰_장진영!$A:$M,4,0),"")</f>
        <v>T1 시사출, 치수 및 금형작동 확인</v>
      </c>
      <c r="O9" s="59">
        <f>IFERROR(VLOOKUP($A9,[5]실험의뢰_장진영!$A:$M,6,0),"")</f>
        <v>45582</v>
      </c>
      <c r="P9" s="58" t="str">
        <f>IFERROR(VLOOKUP($A9,[5]실험의뢰_장진영!$A:$M,10,0),"")</f>
        <v>PP (롯데케미칼 J-560S)</v>
      </c>
      <c r="Q9" s="58" t="str">
        <f>IFERROR(VLOOKUP($A9,[5]실험의뢰_장진영!$A:$M,11,0),"")</f>
        <v>증착사양</v>
      </c>
      <c r="R9" s="58">
        <f>IFERROR(VLOOKUP($A9,[5]실험의뢰_장진영!$A:$M,12,0),"")</f>
        <v>0</v>
      </c>
      <c r="S9" s="58" t="str">
        <f>IFERROR(VLOOKUP($A9,[5]실험의뢰_장진영!$A:$M,13,0),"")</f>
        <v>색상? 타겟 못받았습니다. 받으면 공유하겠습니다. 골드추정</v>
      </c>
      <c r="T9" s="58"/>
    </row>
    <row r="10" spans="1:20" ht="30" customHeight="1">
      <c r="A10" s="58" t="s">
        <v>207</v>
      </c>
      <c r="B10" s="58" t="str">
        <f>IFERROR(VLOOKUP($A10,[5]실험의뢰_장진영!$A:$M,3,0),"")</f>
        <v>아이오페 슈퍼바이탈 크림 50ML(24EC 외용기</v>
      </c>
      <c r="C10" s="58" t="str">
        <f>IFERROR(VLOOKUP($A10,[5]실험의뢰_장진영!$A:$M,9,0),"")</f>
        <v>M241151_01, M241159_02</v>
      </c>
      <c r="D10" s="69" t="str">
        <f>IFERROR(VLOOKUP($A10,[5]실험의뢰_장진영!$A:$M,7,0),"")</f>
        <v>SI1518</v>
      </c>
      <c r="E10" s="1">
        <v>45587</v>
      </c>
      <c r="F10" t="s">
        <v>114</v>
      </c>
      <c r="G10" t="s">
        <v>75</v>
      </c>
      <c r="H10" t="s">
        <v>77</v>
      </c>
      <c r="I10" s="3">
        <v>4</v>
      </c>
      <c r="J10" s="46">
        <v>8</v>
      </c>
      <c r="L10" s="46" t="str">
        <f>실험지시[[#This Row],[금형코드]]</f>
        <v>M241151_01, M241159_02</v>
      </c>
      <c r="M10" s="60">
        <f>IFERROR(VLOOKUP($A10,[5]실험의뢰_장진영!$A:$M,5,0),"")</f>
        <v>200</v>
      </c>
      <c r="N10" s="58" t="str">
        <f>IFERROR(VLOOKUP($A10,[5]실험의뢰_장진영!$A:$M,4,0),"")</f>
        <v>메탈코팅 위한 사출, 골드/로즈골드 코팅샘플 만들고 테스트 진행할 샘플까지 수량</v>
      </c>
      <c r="O10" s="59">
        <f>IFERROR(VLOOKUP($A10,[5]실험의뢰_장진영!$A:$M,6,0),"")</f>
        <v>45581</v>
      </c>
      <c r="P10" s="58" t="str">
        <f>IFERROR(VLOOKUP($A10,[5]실험의뢰_장진영!$A:$M,10,0),"")</f>
        <v>PET (SK케미칼 Claro 200)</v>
      </c>
      <c r="Q10" s="58" t="str">
        <f>IFERROR(VLOOKUP($A10,[5]실험의뢰_장진영!$A:$M,11,0),"")</f>
        <v>WHITE(오딧세이쳅터)</v>
      </c>
      <c r="R10" s="58">
        <f>IFERROR(VLOOKUP($A10,[5]실험의뢰_장진영!$A:$M,12,0),"")</f>
        <v>0</v>
      </c>
      <c r="S10" s="58" t="str">
        <f>IFERROR(VLOOKUP($A10,[5]실험의뢰_장진영!$A:$M,13,0),"")</f>
        <v>금주 중 코팅, 사상해서 차주에 조립해서 디자이너 미팅 예정, 나머지 부품 재고도 확인해야 합니다</v>
      </c>
      <c r="T10" s="58"/>
    </row>
    <row r="11" spans="1:20" ht="30" customHeight="1">
      <c r="A11" s="58" t="s">
        <v>159</v>
      </c>
      <c r="B11" s="58" t="str">
        <f>IFERROR(VLOOKUP($A11,[5]실험의뢰_장진영!$A:$M,3,0),"")</f>
        <v>설화수 진설클렌징폼 150ml (25AD 외캡</v>
      </c>
      <c r="C11" s="58" t="str">
        <f>IFERROR(VLOOKUP($A11,[5]실험의뢰_장진영!$A:$M,9,0),"")</f>
        <v>M241246_01</v>
      </c>
      <c r="D11" s="69" t="str">
        <f>IFERROR(VLOOKUP($A11,[5]실험의뢰_장진영!$A:$M,7,0),"")</f>
        <v>SI1538</v>
      </c>
      <c r="E11" s="1">
        <v>45588</v>
      </c>
      <c r="F11" t="s">
        <v>161</v>
      </c>
      <c r="G11" t="s">
        <v>75</v>
      </c>
      <c r="H11" t="s">
        <v>76</v>
      </c>
      <c r="I11" s="3">
        <v>4</v>
      </c>
      <c r="J11" s="46">
        <v>26</v>
      </c>
      <c r="L11" s="46" t="str">
        <f>실험지시[[#This Row],[금형코드]]</f>
        <v>M241246_01</v>
      </c>
      <c r="M11" s="60">
        <f>IFERROR(VLOOKUP($A11,[5]실험의뢰_장진영!$A:$M,5,0),"")</f>
        <v>300</v>
      </c>
      <c r="N11" s="58" t="str">
        <f>IFERROR(VLOOKUP($A11,[5]실험의뢰_장진영!$A:$M,4,0),"")</f>
        <v xml:space="preserve">포장재 테스트 및 라인테스트용 샘플 200개 </v>
      </c>
      <c r="O11" s="59">
        <f>IFERROR(VLOOKUP($A11,[5]실험의뢰_장진영!$A:$M,6,0),"")</f>
        <v>45587</v>
      </c>
      <c r="P11" s="58" t="str">
        <f>IFERROR(VLOOKUP($A11,[5]실험의뢰_장진영!$A:$M,10,0),"")</f>
        <v>PETG (SK케미칼 PN200)</v>
      </c>
      <c r="Q11" s="58">
        <f>IFERROR(VLOOKUP($A11,[5]실험의뢰_장진영!$A:$M,11,0),"")</f>
        <v>0</v>
      </c>
      <c r="R11" s="58">
        <f>IFERROR(VLOOKUP($A11,[5]실험의뢰_장진영!$A:$M,12,0),"")</f>
        <v>0</v>
      </c>
      <c r="S11" s="58">
        <f>IFERROR(VLOOKUP($A11,[5]실험의뢰_장진영!$A:$M,13,0),"")</f>
        <v>0</v>
      </c>
      <c r="T11" s="58"/>
    </row>
    <row r="12" spans="1:20" ht="30" customHeight="1">
      <c r="A12" s="58" t="s">
        <v>160</v>
      </c>
      <c r="B12" s="58" t="str">
        <f>IFERROR(VLOOKUP($A12,[5]실험의뢰_장진영!$A:$M,3,0),"")</f>
        <v>설화수 진설클렌징폼 150ml (25AD 캡장식</v>
      </c>
      <c r="C12" s="58" t="str">
        <f>IFERROR(VLOOKUP($A12,[5]실험의뢰_장진영!$A:$M,9,0),"")</f>
        <v>M241247_01</v>
      </c>
      <c r="D12" s="69" t="str">
        <f>IFERROR(VLOOKUP($A12,[5]실험의뢰_장진영!$A:$M,7,0),"")</f>
        <v>SI1537</v>
      </c>
      <c r="E12" s="1">
        <v>45588</v>
      </c>
      <c r="F12" t="s">
        <v>161</v>
      </c>
      <c r="G12" s="1" t="s">
        <v>164</v>
      </c>
      <c r="I12" s="3"/>
      <c r="J12" s="46">
        <v>26</v>
      </c>
      <c r="L12" s="46" t="str">
        <f>실험지시[[#This Row],[금형코드]]</f>
        <v>M241247_01</v>
      </c>
      <c r="M12" s="60">
        <f>IFERROR(VLOOKUP($A12,[5]실험의뢰_장진영!$A:$M,5,0),"")</f>
        <v>400</v>
      </c>
      <c r="N12" s="58" t="str">
        <f>IFERROR(VLOOKUP($A12,[5]실험의뢰_장진영!$A:$M,4,0),"")</f>
        <v>포장재 테스트 및 라인테스트용 샘플 200개 (증착로스 반영)</v>
      </c>
      <c r="O12" s="59">
        <f>IFERROR(VLOOKUP($A12,[5]실험의뢰_장진영!$A:$M,6,0),"")</f>
        <v>45587</v>
      </c>
      <c r="P12" s="58" t="str">
        <f>IFERROR(VLOOKUP($A12,[5]실험의뢰_장진영!$A:$M,10,0),"")</f>
        <v>ABS (롯데첨단소재 MP-0670)</v>
      </c>
      <c r="Q12" s="58" t="str">
        <f>IFERROR(VLOOKUP($A12,[5]실험의뢰_장진영!$A:$M,11,0),"")</f>
        <v>NATURAL</v>
      </c>
      <c r="R12" s="58">
        <f>IFERROR(VLOOKUP($A12,[5]실험의뢰_장진영!$A:$M,12,0),"")</f>
        <v>0</v>
      </c>
      <c r="S12" s="58">
        <f>IFERROR(VLOOKUP($A12,[5]실험의뢰_장진영!$A:$M,13,0),"")</f>
        <v>0</v>
      </c>
      <c r="T12" s="58"/>
    </row>
    <row r="13" spans="1:20" ht="30" customHeight="1">
      <c r="A13" s="61" t="s">
        <v>162</v>
      </c>
      <c r="B13" s="58" t="str">
        <f>IFERROR(VLOOKUP($A13,[5]실험의뢰_장진영!$A:$M,3,0),"")</f>
        <v>설화수 진설클렌징폼 견본 40ml (25AD 외캡</v>
      </c>
      <c r="C13" s="58" t="str">
        <f>IFERROR(VLOOKUP($A13,[5]실험의뢰_장진영!$A:$M,9,0),"")</f>
        <v>M241286_01</v>
      </c>
      <c r="D13" s="69" t="str">
        <f>IFERROR(VLOOKUP($A13,[5]실험의뢰_장진영!$A:$M,7,0),"")</f>
        <v>SI1554</v>
      </c>
      <c r="E13" s="1">
        <v>45588</v>
      </c>
      <c r="F13" t="s">
        <v>170</v>
      </c>
      <c r="G13" s="1" t="s">
        <v>164</v>
      </c>
      <c r="H13" t="s">
        <v>165</v>
      </c>
      <c r="I13" s="3">
        <v>6</v>
      </c>
      <c r="J13" s="46">
        <v>26</v>
      </c>
      <c r="K13" s="74">
        <v>820</v>
      </c>
      <c r="L13" s="46" t="str">
        <f>실험지시[[#This Row],[금형코드]]</f>
        <v>M241286_01</v>
      </c>
      <c r="M13" s="60">
        <f>IFERROR(VLOOKUP($A13,[5]실험의뢰_장진영!$A:$M,5,0),"")</f>
        <v>300</v>
      </c>
      <c r="N13" s="58" t="str">
        <f>IFERROR(VLOOKUP($A13,[5]실험의뢰_장진영!$A:$M,4,0),"")</f>
        <v xml:space="preserve">포장재 테스트 및 라인테스트용 샘플 200개 </v>
      </c>
      <c r="O13" s="59">
        <f>IFERROR(VLOOKUP($A13,[5]실험의뢰_장진영!$A:$M,6,0),"")</f>
        <v>45588</v>
      </c>
      <c r="P13" s="58" t="str">
        <f>IFERROR(VLOOKUP($A13,[5]실험의뢰_장진영!$A:$M,10,0),"")</f>
        <v>ABS (롯데첨단소재 SL-0100)</v>
      </c>
      <c r="Q13" s="58" t="str">
        <f>IFERROR(VLOOKUP($A13,[5]실험의뢰_장진영!$A:$M,11,0),"")</f>
        <v>신규MB입고</v>
      </c>
      <c r="R13" s="58">
        <f>IFERROR(VLOOKUP($A13,[5]실험의뢰_장진영!$A:$M,12,0),"")</f>
        <v>0</v>
      </c>
      <c r="S13" s="58">
        <f>IFERROR(VLOOKUP($A13,[5]실험의뢰_장진영!$A:$M,13,0),"")</f>
        <v>0</v>
      </c>
      <c r="T13" s="58"/>
    </row>
    <row r="14" spans="1:20" ht="30" customHeight="1">
      <c r="A14" s="61" t="s">
        <v>163</v>
      </c>
      <c r="B14" s="58" t="str">
        <f>IFERROR(VLOOKUP($A14,[5]실험의뢰_장진영!$A:$M,3,0),"")</f>
        <v>설화수 진설클렌징폼 견본 40ml (25AD 내캡</v>
      </c>
      <c r="C14" s="58" t="str">
        <f>IFERROR(VLOOKUP($A14,[5]실험의뢰_장진영!$A:$M,9,0),"")</f>
        <v>M241285_01</v>
      </c>
      <c r="D14" s="69" t="str">
        <f>IFERROR(VLOOKUP($A14,[5]실험의뢰_장진영!$A:$M,7,0),"")</f>
        <v>SI1553</v>
      </c>
      <c r="E14" s="1">
        <v>45587</v>
      </c>
      <c r="F14" t="s">
        <v>161</v>
      </c>
      <c r="G14" s="1" t="s">
        <v>157</v>
      </c>
      <c r="H14" t="s">
        <v>147</v>
      </c>
      <c r="I14" s="47">
        <v>4</v>
      </c>
      <c r="J14" s="46" t="s">
        <v>169</v>
      </c>
      <c r="K14" s="74">
        <v>1012</v>
      </c>
      <c r="L14" s="46" t="str">
        <f>실험지시[[#This Row],[금형코드]]</f>
        <v>M241285_01</v>
      </c>
      <c r="M14" s="60">
        <f>IFERROR(VLOOKUP($A14,[5]실험의뢰_장진영!$A:$M,5,0),"")</f>
        <v>300</v>
      </c>
      <c r="N14" s="58" t="str">
        <f>IFERROR(VLOOKUP($A14,[5]실험의뢰_장진영!$A:$M,4,0),"")</f>
        <v xml:space="preserve">포장재 테스트 및 라인테스트용 샘플 200개 </v>
      </c>
      <c r="O14" s="59">
        <f>IFERROR(VLOOKUP($A14,[5]실험의뢰_장진영!$A:$M,6,0),"")</f>
        <v>45588</v>
      </c>
      <c r="P14" s="58" t="str">
        <f>IFERROR(VLOOKUP($A14,[5]실험의뢰_장진영!$A:$M,10,0),"")</f>
        <v>PP (롯데케미칼 J-560S)</v>
      </c>
      <c r="Q14" s="58" t="str">
        <f>IFERROR(VLOOKUP($A14,[5]실험의뢰_장진영!$A:$M,11,0),"")</f>
        <v>KS360-1</v>
      </c>
      <c r="R14" s="58">
        <f>IFERROR(VLOOKUP($A14,[5]실험의뢰_장진영!$A:$M,12,0),"")</f>
        <v>3</v>
      </c>
      <c r="S14" s="58">
        <f>IFERROR(VLOOKUP($A14,[5]실험의뢰_장진영!$A:$M,13,0),"")</f>
        <v>0</v>
      </c>
      <c r="T14" s="58"/>
    </row>
    <row r="15" spans="1:20" ht="30" customHeight="1">
      <c r="A15" s="58" t="s">
        <v>171</v>
      </c>
      <c r="B15" s="58" t="str">
        <f>IFERROR(VLOOKUP($A15,[5]실험의뢰_장진영!$A:$M,3,0),"")</f>
        <v>설화수 진설클렌징폼 150ml (25AD 내캡</v>
      </c>
      <c r="C15" s="58" t="str">
        <f>IFERROR(VLOOKUP($A15,[5]실험의뢰_장진영!$A:$M,9,0),"")</f>
        <v>M241245_01</v>
      </c>
      <c r="D15" s="69" t="str">
        <f>IFERROR(VLOOKUP($A15,[5]실험의뢰_장진영!$A:$M,7,0),"")</f>
        <v>SI1539</v>
      </c>
      <c r="E15" s="1">
        <v>45587</v>
      </c>
      <c r="F15" t="s">
        <v>161</v>
      </c>
      <c r="G15" s="1" t="s">
        <v>157</v>
      </c>
      <c r="H15" t="s">
        <v>147</v>
      </c>
      <c r="I15" s="47">
        <v>4</v>
      </c>
      <c r="J15" s="46" t="s">
        <v>169</v>
      </c>
      <c r="L15" s="46" t="str">
        <f>실험지시[[#This Row],[금형코드]]</f>
        <v>M241245_01</v>
      </c>
      <c r="M15" s="60">
        <f>IFERROR(VLOOKUP($A15,[5]실험의뢰_장진영!$A:$M,5,0),"")</f>
        <v>400</v>
      </c>
      <c r="N15" s="58" t="str">
        <f>IFERROR(VLOOKUP($A15,[5]실험의뢰_장진영!$A:$M,4,0),"")</f>
        <v>포장재 테스트 및 라인테스트용 샘플 200개 (코팅로스 반영)</v>
      </c>
      <c r="O15" s="59">
        <f>IFERROR(VLOOKUP($A15,[5]실험의뢰_장진영!$A:$M,6,0),"")</f>
        <v>45587</v>
      </c>
      <c r="P15" s="58" t="str">
        <f>IFERROR(VLOOKUP($A15,[5]실험의뢰_장진영!$A:$M,10,0),"")</f>
        <v>PP (롯데케미칼 J-560S)</v>
      </c>
      <c r="Q15" s="58" t="str">
        <f>IFERROR(VLOOKUP($A15,[5]실험의뢰_장진영!$A:$M,11,0),"")</f>
        <v>타겟참고 %확정바람</v>
      </c>
      <c r="R15" s="58">
        <f>IFERROR(VLOOKUP($A15,[5]실험의뢰_장진영!$A:$M,12,0),"")</f>
        <v>0</v>
      </c>
      <c r="S15" s="58" t="str">
        <f>IFERROR(VLOOKUP($A15,[5]실험의뢰_장진영!$A:$M,13,0),"")</f>
        <v>일정확인해서 답변보내야 합니다. 가능한 빠른 일정 확인 부탁드립니다.</v>
      </c>
      <c r="T15" s="58"/>
    </row>
    <row r="16" spans="1:20" ht="30" customHeight="1">
      <c r="A16" s="58" t="s">
        <v>183</v>
      </c>
      <c r="B16" s="58" t="s">
        <v>178</v>
      </c>
      <c r="C16" s="58" t="s">
        <v>179</v>
      </c>
      <c r="D16" s="69" t="s">
        <v>180</v>
      </c>
      <c r="E16" s="1">
        <v>45588</v>
      </c>
      <c r="F16" t="s">
        <v>170</v>
      </c>
      <c r="G16" s="1" t="s">
        <v>185</v>
      </c>
      <c r="I16" s="3"/>
      <c r="J16" s="46">
        <v>26</v>
      </c>
      <c r="K16" s="74">
        <v>820</v>
      </c>
      <c r="L16" s="46" t="s">
        <v>179</v>
      </c>
      <c r="M16" s="60">
        <v>300</v>
      </c>
      <c r="N16" s="58" t="s">
        <v>184</v>
      </c>
      <c r="O16" s="59">
        <v>45588</v>
      </c>
      <c r="P16" s="58" t="s">
        <v>181</v>
      </c>
      <c r="Q16" s="58" t="s">
        <v>182</v>
      </c>
      <c r="R16" s="58">
        <v>0</v>
      </c>
      <c r="S16" s="58">
        <v>0</v>
      </c>
      <c r="T16" s="58"/>
    </row>
    <row r="17" spans="1:20" ht="30" customHeight="1">
      <c r="A17" s="58" t="s">
        <v>186</v>
      </c>
      <c r="B17" s="58" t="s">
        <v>178</v>
      </c>
      <c r="C17" s="58" t="s">
        <v>179</v>
      </c>
      <c r="D17" s="69" t="s">
        <v>180</v>
      </c>
      <c r="E17" s="1">
        <v>45588</v>
      </c>
      <c r="F17" t="s">
        <v>170</v>
      </c>
      <c r="G17" s="1" t="s">
        <v>164</v>
      </c>
      <c r="H17" t="s">
        <v>165</v>
      </c>
      <c r="I17" s="3">
        <v>6</v>
      </c>
      <c r="J17" s="46">
        <v>26</v>
      </c>
      <c r="K17" s="74">
        <v>820</v>
      </c>
      <c r="L17" s="46" t="s">
        <v>179</v>
      </c>
      <c r="M17" s="60">
        <v>300</v>
      </c>
      <c r="N17" s="58" t="s">
        <v>184</v>
      </c>
      <c r="O17" s="59">
        <v>45588</v>
      </c>
      <c r="P17" s="58" t="s">
        <v>181</v>
      </c>
      <c r="Q17" s="58" t="s">
        <v>182</v>
      </c>
      <c r="R17" s="58">
        <v>0</v>
      </c>
      <c r="S17" s="58">
        <v>0</v>
      </c>
      <c r="T17" s="58"/>
    </row>
    <row r="18" spans="1:20" ht="30" customHeight="1">
      <c r="A18" s="58" t="s">
        <v>187</v>
      </c>
      <c r="B18" s="58" t="str">
        <f>IFERROR(VLOOKUP($A18,[5]실험의뢰_장진영!$A:$M,3,0),"")</f>
        <v>오딧세이 로맨틱 스킨 리파이너 130ML (23AD)(착인) 외캡</v>
      </c>
      <c r="C18" s="58" t="str">
        <f>IFERROR(VLOOKUP($A18,[5]실험의뢰_장진영!$A:$M,9,0),"")</f>
        <v>M231236_01</v>
      </c>
      <c r="D18" s="69" t="str">
        <f>IFERROR(VLOOKUP($A18,[5]실험의뢰_장진영!$A:$M,7,0),"")</f>
        <v>T0003</v>
      </c>
      <c r="E18" s="1">
        <v>45589</v>
      </c>
      <c r="F18" t="s">
        <v>161</v>
      </c>
      <c r="G18" s="1" t="s">
        <v>188</v>
      </c>
      <c r="I18" s="3"/>
      <c r="L18" s="46" t="str">
        <f>실험지시[[#This Row],[금형코드]]</f>
        <v>M231236_01</v>
      </c>
      <c r="M18" s="60">
        <f>IFERROR(VLOOKUP($A18,[5]실험의뢰_장진영!$A:$M,5,0),"")</f>
        <v>200</v>
      </c>
      <c r="N18" s="58" t="str">
        <f>IFERROR(VLOOKUP($A18,[5]실험의뢰_장진영!$A:$M,4,0),"")</f>
        <v>목분 샘플 제작용, 기존 사출물과 색상이 동일하게 MB % 조절</v>
      </c>
      <c r="O18" s="59">
        <f>IFERROR(VLOOKUP($A18,[5]실험의뢰_장진영!$A:$M,6,0),"")</f>
        <v>0</v>
      </c>
      <c r="P18" s="58" t="str">
        <f>IFERROR(VLOOKUP($A18,[5]실험의뢰_장진영!$A:$M,10,0),"")</f>
        <v>목분 3종</v>
      </c>
      <c r="Q18" s="58" t="str">
        <f>IFERROR(VLOOKUP($A18,[5]실험의뢰_장진영!$A:$M,11,0),"")</f>
        <v>5M964 : KS1054 - KG</v>
      </c>
      <c r="R18" s="58">
        <f>IFERROR(VLOOKUP($A18,[5]실험의뢰_장진영!$A:$M,12,0),"")</f>
        <v>0</v>
      </c>
      <c r="S18" s="58" t="str">
        <f>IFERROR(VLOOKUP($A18,[5]실험의뢰_장진영!$A:$M,13,0),"")</f>
        <v>무림에는 18일 사출이라고 공유해놓았습니다. 위에 의뢰목록을 카피해놓은 겁니다. 일정 확인 부탁드립니다.</v>
      </c>
      <c r="T18" s="58"/>
    </row>
    <row r="19" spans="1:20" ht="30" customHeight="1">
      <c r="A19" s="58" t="s">
        <v>189</v>
      </c>
      <c r="B19" s="58" t="str">
        <f>IFERROR(VLOOKUP($A19,[5]실험의뢰_장진영!$A:$M,3,0),"")</f>
        <v>설화수 진설클렌징폼 견본 15ml (25AD 외캡</v>
      </c>
      <c r="C19" s="58" t="str">
        <f>IFERROR(VLOOKUP($A19,[5]실험의뢰_장진영!$A:$M,9,0),"")</f>
        <v>M241283_01</v>
      </c>
      <c r="D19" s="69" t="str">
        <f>IFERROR(VLOOKUP($A19,[5]실험의뢰_장진영!$A:$M,7,0),"")</f>
        <v>SI1544</v>
      </c>
      <c r="E19" s="1">
        <v>45594</v>
      </c>
      <c r="F19" t="s">
        <v>161</v>
      </c>
      <c r="G19" s="1" t="s">
        <v>157</v>
      </c>
      <c r="H19" t="s">
        <v>198</v>
      </c>
      <c r="I19" s="3">
        <v>4</v>
      </c>
      <c r="J19" s="46">
        <v>24</v>
      </c>
      <c r="L19" s="46" t="str">
        <f>실험지시[[#This Row],[금형코드]]</f>
        <v>M241283_01</v>
      </c>
      <c r="M19" s="60">
        <f>IFERROR(VLOOKUP($A19,[5]실험의뢰_장진영!$A:$M,5,0),"")</f>
        <v>300</v>
      </c>
      <c r="N19" s="58" t="str">
        <f>IFERROR(VLOOKUP($A19,[5]실험의뢰_장진영!$A:$M,4,0),"")</f>
        <v xml:space="preserve">포장재 테스트 및 라인테스트용 샘플 200개 </v>
      </c>
      <c r="O19" s="59">
        <f>IFERROR(VLOOKUP($A19,[5]실험의뢰_장진영!$A:$M,6,0),"")</f>
        <v>45589</v>
      </c>
      <c r="P19" s="58" t="str">
        <f>IFERROR(VLOOKUP($A19,[5]실험의뢰_장진영!$A:$M,10,0),"")</f>
        <v>PP (롯데케미칼 J-560S)</v>
      </c>
      <c r="Q19" s="58" t="str">
        <f>IFERROR(VLOOKUP($A19,[5]실험의뢰_장진영!$A:$M,11,0),"")</f>
        <v>신규MB입고</v>
      </c>
      <c r="R19" s="58">
        <f>IFERROR(VLOOKUP($A19,[5]실험의뢰_장진영!$A:$M,12,0),"")</f>
        <v>0</v>
      </c>
      <c r="S19" s="58">
        <f>IFERROR(VLOOKUP($A19,[5]실험의뢰_장진영!$A:$M,13,0),"")</f>
        <v>0</v>
      </c>
      <c r="T19" s="58"/>
    </row>
    <row r="20" spans="1:20" ht="30" customHeight="1">
      <c r="A20" s="58" t="s">
        <v>190</v>
      </c>
      <c r="B20" s="58" t="str">
        <f>IFERROR(VLOOKUP($A20,[5]실험의뢰_장진영!$A:$M,3,0),"")</f>
        <v>설화수 진설클렌징폼 견본 15ml (25AD 내캡</v>
      </c>
      <c r="C20" s="58" t="str">
        <f>IFERROR(VLOOKUP($A20,[5]실험의뢰_장진영!$A:$M,9,0),"")</f>
        <v>M241282_01</v>
      </c>
      <c r="D20" s="69" t="str">
        <f>IFERROR(VLOOKUP($A20,[5]실험의뢰_장진영!$A:$M,7,0),"")</f>
        <v>SI1545</v>
      </c>
      <c r="E20" s="1">
        <v>45594</v>
      </c>
      <c r="F20" t="s">
        <v>161</v>
      </c>
      <c r="G20" s="1" t="s">
        <v>157</v>
      </c>
      <c r="H20" t="s">
        <v>199</v>
      </c>
      <c r="I20" s="3">
        <v>5</v>
      </c>
      <c r="J20" s="46">
        <v>24</v>
      </c>
      <c r="K20" s="74">
        <v>1019</v>
      </c>
      <c r="L20" s="46" t="str">
        <f>실험지시[[#This Row],[금형코드]]</f>
        <v>M241282_01</v>
      </c>
      <c r="M20" s="60">
        <f>IFERROR(VLOOKUP($A20,[5]실험의뢰_장진영!$A:$M,5,0),"")</f>
        <v>300</v>
      </c>
      <c r="N20" s="58" t="str">
        <f>IFERROR(VLOOKUP($A20,[5]실험의뢰_장진영!$A:$M,4,0),"")</f>
        <v xml:space="preserve">포장재 테스트 및 라인테스트용 샘플 200개 </v>
      </c>
      <c r="O20" s="59">
        <f>IFERROR(VLOOKUP($A20,[5]실험의뢰_장진영!$A:$M,6,0),"")</f>
        <v>45589</v>
      </c>
      <c r="P20" s="58" t="str">
        <f>IFERROR(VLOOKUP($A20,[5]실험의뢰_장진영!$A:$M,10,0),"")</f>
        <v>PP (롯데케미칼 J-560S)</v>
      </c>
      <c r="Q20" s="58" t="str">
        <f>IFERROR(VLOOKUP($A20,[5]실험의뢰_장진영!$A:$M,11,0),"")</f>
        <v>신규MB입고</v>
      </c>
      <c r="R20" s="58">
        <f>IFERROR(VLOOKUP($A20,[5]실험의뢰_장진영!$A:$M,12,0),"")</f>
        <v>0</v>
      </c>
      <c r="S20" s="58">
        <f>IFERROR(VLOOKUP($A20,[5]실험의뢰_장진영!$A:$M,13,0),"")</f>
        <v>0</v>
      </c>
      <c r="T20" s="58"/>
    </row>
    <row r="21" spans="1:20" ht="30" customHeight="1">
      <c r="A21" s="58" t="s">
        <v>191</v>
      </c>
      <c r="B21" s="58" t="str">
        <f>IFERROR(VLOOKUP($A21,[5]실험의뢰_장진영!$A:$M,3,0),"")</f>
        <v>라보에이치 모발강화 트리트먼트 200ml 50파이 원터치캡</v>
      </c>
      <c r="C21" s="58" t="str">
        <f>IFERROR(VLOOKUP($A21,[5]실험의뢰_장진영!$A:$M,9,0),"")</f>
        <v>M241332-01</v>
      </c>
      <c r="D21" s="69" t="str">
        <f>IFERROR(VLOOKUP($A21,[5]실험의뢰_장진영!$A:$M,7,0),"")</f>
        <v>SI1557</v>
      </c>
      <c r="E21" s="1">
        <v>45597</v>
      </c>
      <c r="F21" t="s">
        <v>161</v>
      </c>
      <c r="G21" s="1" t="s">
        <v>157</v>
      </c>
      <c r="H21" t="s">
        <v>217</v>
      </c>
      <c r="I21" s="3">
        <v>5</v>
      </c>
      <c r="J21" s="46">
        <v>4</v>
      </c>
      <c r="L21" s="46" t="str">
        <f>실험지시[[#This Row],[금형코드]]</f>
        <v>M241332-01</v>
      </c>
      <c r="M21" s="60">
        <f>IFERROR(VLOOKUP($A21,[5]실험의뢰_장진영!$A:$M,5,0),"")</f>
        <v>80</v>
      </c>
      <c r="N21" s="58" t="str">
        <f>IFERROR(VLOOKUP($A21,[5]실험의뢰_장진영!$A:$M,4,0),"")</f>
        <v>T1 시사출, 아이팩 제품</v>
      </c>
      <c r="O21" s="59">
        <f>IFERROR(VLOOKUP($A21,[5]실험의뢰_장진영!$A:$M,6,0),"")</f>
        <v>45595</v>
      </c>
      <c r="P21" s="58" t="str">
        <f>IFERROR(VLOOKUP($A21,[5]실험의뢰_장진영!$A:$M,10,0),"")</f>
        <v>PP (롯데케미칼 J-560S)</v>
      </c>
      <c r="Q21" s="58">
        <f>IFERROR(VLOOKUP($A21,[5]실험의뢰_장진영!$A:$M,11,0),"")</f>
        <v>0</v>
      </c>
      <c r="R21" s="58">
        <f>IFERROR(VLOOKUP($A21,[5]실험의뢰_장진영!$A:$M,12,0),"")</f>
        <v>0</v>
      </c>
      <c r="S21" s="58">
        <f>IFERROR(VLOOKUP($A21,[5]실험의뢰_장진영!$A:$M,13,0),"")</f>
        <v>0</v>
      </c>
      <c r="T21" s="58"/>
    </row>
    <row r="22" spans="1:20" ht="30" customHeight="1">
      <c r="A22" s="58" t="s">
        <v>192</v>
      </c>
      <c r="B22" s="58" t="str">
        <f>IFERROR(VLOOKUP($A22,[5]실험의뢰_장진영!$A:$M,3,0),"")</f>
        <v>라보에이치 모발강화 트리트먼트 200ml 50파이 장식</v>
      </c>
      <c r="C22" s="58" t="str">
        <f>IFERROR(VLOOKUP($A22,[5]실험의뢰_장진영!$A:$M,9,0),"")</f>
        <v>M241331-01</v>
      </c>
      <c r="D22" s="69" t="str">
        <f>IFERROR(VLOOKUP($A22,[5]실험의뢰_장진영!$A:$M,7,0),"")</f>
        <v>SI1558</v>
      </c>
      <c r="E22" s="1">
        <v>45601</v>
      </c>
      <c r="F22" t="s">
        <v>114</v>
      </c>
      <c r="G22" s="1" t="s">
        <v>157</v>
      </c>
      <c r="H22" t="s">
        <v>217</v>
      </c>
      <c r="I22" s="3">
        <v>5</v>
      </c>
      <c r="J22" s="46">
        <v>9</v>
      </c>
      <c r="L22" s="46" t="str">
        <f>실험지시[[#This Row],[금형코드]]</f>
        <v>M241331-01</v>
      </c>
      <c r="M22" s="60">
        <f>IFERROR(VLOOKUP($A22,[5]실험의뢰_장진영!$A:$M,5,0),"")</f>
        <v>80</v>
      </c>
      <c r="N22" s="58" t="str">
        <f>IFERROR(VLOOKUP($A22,[5]실험의뢰_장진영!$A:$M,4,0),"")</f>
        <v>T1 시사출</v>
      </c>
      <c r="O22" s="59">
        <f>IFERROR(VLOOKUP($A22,[5]실험의뢰_장진영!$A:$M,6,0),"")</f>
        <v>45595</v>
      </c>
      <c r="P22" s="58" t="str">
        <f>IFERROR(VLOOKUP($A22,[5]실험의뢰_장진영!$A:$M,10,0),"")</f>
        <v>PP (롯데케미칼 J-560S)</v>
      </c>
      <c r="Q22" s="58" t="str">
        <f>IFERROR(VLOOKUP($A22,[5]실험의뢰_장진영!$A:$M,11,0),"")</f>
        <v>MB 요청 중</v>
      </c>
      <c r="R22" s="58">
        <f>IFERROR(VLOOKUP($A22,[5]실험의뢰_장진영!$A:$M,12,0),"")</f>
        <v>0</v>
      </c>
      <c r="S22" s="58">
        <f>IFERROR(VLOOKUP($A22,[5]실험의뢰_장진영!$A:$M,13,0),"")</f>
        <v>0</v>
      </c>
      <c r="T22" s="58"/>
    </row>
    <row r="23" spans="1:20" ht="30" customHeight="1">
      <c r="A23" s="58" t="s">
        <v>193</v>
      </c>
      <c r="B23" s="58" t="str">
        <f>IFERROR(VLOOKUP($A23,[5]실험의뢰_장진영!$A:$M,3,0),"")</f>
        <v>라보에이치 모발강화 트리트먼트 300ml 60파이 원터치캡</v>
      </c>
      <c r="C23" s="58" t="str">
        <f>IFERROR(VLOOKUP($A23,[5]실험의뢰_장진영!$A:$M,9,0),"")</f>
        <v>M241336-01</v>
      </c>
      <c r="D23" s="69" t="str">
        <f>IFERROR(VLOOKUP($A23,[5]실험의뢰_장진영!$A:$M,7,0),"")</f>
        <v>SI1559</v>
      </c>
      <c r="E23" s="1">
        <v>45597</v>
      </c>
      <c r="F23" t="s">
        <v>161</v>
      </c>
      <c r="G23" s="1" t="s">
        <v>157</v>
      </c>
      <c r="H23" t="s">
        <v>217</v>
      </c>
      <c r="I23" s="3">
        <v>4</v>
      </c>
      <c r="J23" s="46">
        <v>4</v>
      </c>
      <c r="L23" s="46" t="str">
        <f>실험지시[[#This Row],[금형코드]]</f>
        <v>M241336-01</v>
      </c>
      <c r="M23" s="60">
        <f>IFERROR(VLOOKUP($A23,[5]실험의뢰_장진영!$A:$M,5,0),"")</f>
        <v>80</v>
      </c>
      <c r="N23" s="58" t="str">
        <f>IFERROR(VLOOKUP($A23,[5]실험의뢰_장진영!$A:$M,4,0),"")</f>
        <v>T1 시사출</v>
      </c>
      <c r="O23" s="59">
        <f>IFERROR(VLOOKUP($A23,[5]실험의뢰_장진영!$A:$M,6,0),"")</f>
        <v>45595</v>
      </c>
      <c r="P23" s="58">
        <f>IFERROR(VLOOKUP($A23,[5]실험의뢰_장진영!$A:$M,10,0),"")</f>
        <v>0</v>
      </c>
      <c r="Q23" s="58">
        <f>IFERROR(VLOOKUP($A23,[5]실험의뢰_장진영!$A:$M,11,0),"")</f>
        <v>0</v>
      </c>
      <c r="R23" s="58">
        <f>IFERROR(VLOOKUP($A23,[5]실험의뢰_장진영!$A:$M,12,0),"")</f>
        <v>0</v>
      </c>
      <c r="S23" s="58">
        <f>IFERROR(VLOOKUP($A23,[5]실험의뢰_장진영!$A:$M,13,0),"")</f>
        <v>0</v>
      </c>
      <c r="T23" s="58"/>
    </row>
    <row r="24" spans="1:20" ht="30" customHeight="1">
      <c r="A24" s="58" t="s">
        <v>194</v>
      </c>
      <c r="B24" s="58" t="str">
        <f>IFERROR(VLOOKUP($A24,[5]실험의뢰_장진영!$A:$M,3,0),"")</f>
        <v>라보에이치 모발강화 트리트먼트 300ml 60파이 장식</v>
      </c>
      <c r="C24" s="58" t="str">
        <f>IFERROR(VLOOKUP($A24,[5]실험의뢰_장진영!$A:$M,9,0),"")</f>
        <v>M241335-01</v>
      </c>
      <c r="D24" s="69" t="str">
        <f>IFERROR(VLOOKUP($A24,[5]실험의뢰_장진영!$A:$M,7,0),"")</f>
        <v>SI1560</v>
      </c>
      <c r="E24" s="1">
        <v>45601</v>
      </c>
      <c r="F24" t="s">
        <v>114</v>
      </c>
      <c r="G24" s="1" t="s">
        <v>157</v>
      </c>
      <c r="H24" t="s">
        <v>217</v>
      </c>
      <c r="I24" s="3">
        <v>5</v>
      </c>
      <c r="J24" s="46">
        <v>9</v>
      </c>
      <c r="L24" s="46" t="str">
        <f>실험지시[[#This Row],[금형코드]]</f>
        <v>M241335-01</v>
      </c>
      <c r="M24" s="60">
        <f>IFERROR(VLOOKUP($A24,[5]실험의뢰_장진영!$A:$M,5,0),"")</f>
        <v>80</v>
      </c>
      <c r="N24" s="58" t="str">
        <f>IFERROR(VLOOKUP($A24,[5]실험의뢰_장진영!$A:$M,4,0),"")</f>
        <v>T1 시사출</v>
      </c>
      <c r="O24" s="59">
        <f>IFERROR(VLOOKUP($A24,[5]실험의뢰_장진영!$A:$M,6,0),"")</f>
        <v>45595</v>
      </c>
      <c r="P24" s="58">
        <f>IFERROR(VLOOKUP($A24,[5]실험의뢰_장진영!$A:$M,10,0),"")</f>
        <v>0</v>
      </c>
      <c r="Q24" s="58">
        <f>IFERROR(VLOOKUP($A24,[5]실험의뢰_장진영!$A:$M,11,0),"")</f>
        <v>0</v>
      </c>
      <c r="R24" s="58">
        <f>IFERROR(VLOOKUP($A24,[5]실험의뢰_장진영!$A:$M,12,0),"")</f>
        <v>0</v>
      </c>
      <c r="S24" s="58">
        <f>IFERROR(VLOOKUP($A24,[5]실험의뢰_장진영!$A:$M,13,0),"")</f>
        <v>0</v>
      </c>
      <c r="T24" s="58"/>
    </row>
    <row r="25" spans="1:20" ht="30" customHeight="1">
      <c r="A25" s="70" t="s">
        <v>195</v>
      </c>
      <c r="B25" s="58" t="str">
        <f>IFERROR(VLOOKUP($A25,[5]실험의뢰_장진영!$A:$M,3,0),"")</f>
        <v>아이오페 슈퍼바이탈 크림 50ML(24EC 내캡</v>
      </c>
      <c r="C25" s="58" t="str">
        <f>IFERROR(VLOOKUP($A25,[5]실험의뢰_장진영!$A:$M,9,0),"")</f>
        <v>M241147_01, M241155_02</v>
      </c>
      <c r="D25" s="69" t="str">
        <f>IFERROR(VLOOKUP($A25,[5]실험의뢰_장진영!$A:$M,7,0),"")</f>
        <v>SI1522</v>
      </c>
      <c r="E25" s="1">
        <v>45594</v>
      </c>
      <c r="F25" t="s">
        <v>161</v>
      </c>
      <c r="G25" s="1" t="s">
        <v>153</v>
      </c>
      <c r="H25" t="s">
        <v>196</v>
      </c>
      <c r="I25" s="3">
        <v>3</v>
      </c>
      <c r="J25" s="46">
        <v>24</v>
      </c>
      <c r="L25" s="46" t="s">
        <v>200</v>
      </c>
      <c r="M25" s="60">
        <f>IFERROR(VLOOKUP($A25,[5]실험의뢰_장진영!$A:$M,5,0),"")</f>
        <v>40</v>
      </c>
      <c r="N25" s="58" t="str">
        <f>IFERROR(VLOOKUP($A25,[5]실험의뢰_장진영!$A:$M,4,0),"")</f>
        <v>2차 사출 요청, 완료회의 제출 용</v>
      </c>
      <c r="O25" s="59">
        <f>IFERROR(VLOOKUP($A25,[5]실험의뢰_장진영!$A:$M,6,0),"")</f>
        <v>45594</v>
      </c>
      <c r="P25" s="58" t="str">
        <f>IFERROR(VLOOKUP($A25,[5]실험의뢰_장진영!$A:$M,10,0),"")</f>
        <v>PP (다원소재 DW-2360)</v>
      </c>
      <c r="Q25" s="58" t="str">
        <f>IFERROR(VLOOKUP($A25,[5]실험의뢰_장진영!$A:$M,11,0),"")</f>
        <v>SW240521-1 (BEIGE)</v>
      </c>
      <c r="R25" s="58">
        <f>IFERROR(VLOOKUP($A25,[5]실험의뢰_장진영!$A:$M,12,0),"")</f>
        <v>3</v>
      </c>
      <c r="S25" s="58">
        <f>IFERROR(VLOOKUP($A25,[5]실험의뢰_장진영!$A:$M,13,0),"")</f>
        <v>0</v>
      </c>
      <c r="T25" s="58"/>
    </row>
    <row r="26" spans="1:20" ht="30" customHeight="1">
      <c r="A26" s="58" t="s">
        <v>211</v>
      </c>
      <c r="B26" s="58" t="str">
        <f>IFERROR(VLOOKUP($A26,[5]실험의뢰_장진영!$A:$M,3,0),"")</f>
        <v>아이오페 슈퍼바이탈 크림 50ML(24EC 외캡</v>
      </c>
      <c r="C26" s="58" t="str">
        <f>IFERROR(VLOOKUP($A26,[5]실험의뢰_장진영!$A:$M,9,0),"")</f>
        <v>M241148_01, M241156_02</v>
      </c>
      <c r="D26" s="69" t="str">
        <f>IFERROR(VLOOKUP($A26,[5]실험의뢰_장진영!$A:$M,7,0),"")</f>
        <v>SI1516</v>
      </c>
      <c r="E26" s="1">
        <v>45594</v>
      </c>
      <c r="F26" t="s">
        <v>74</v>
      </c>
      <c r="G26" s="1" t="s">
        <v>197</v>
      </c>
      <c r="I26" s="3"/>
      <c r="J26" s="46">
        <v>16</v>
      </c>
      <c r="L26" s="46" t="str">
        <f>실험지시[[#This Row],[금형코드]]</f>
        <v>M241148_01, M241156_02</v>
      </c>
      <c r="M26" s="60">
        <f>IFERROR(VLOOKUP($A26,[5]실험의뢰_장진영!$A:$M,5,0),"")</f>
        <v>40</v>
      </c>
      <c r="N26" s="58" t="str">
        <f>IFERROR(VLOOKUP($A26,[5]실험의뢰_장진영!$A:$M,4,0),"")</f>
        <v>2차 사출 요청, 완료회의 제출 용</v>
      </c>
      <c r="O26" s="59">
        <f>IFERROR(VLOOKUP($A26,[5]실험의뢰_장진영!$A:$M,6,0),"")</f>
        <v>45594</v>
      </c>
      <c r="P26" s="58" t="str">
        <f>IFERROR(VLOOKUP($A26,[5]실험의뢰_장진영!$A:$M,10,0),"")</f>
        <v>PN200</v>
      </c>
      <c r="Q26" s="58">
        <f>IFERROR(VLOOKUP($A26,[5]실험의뢰_장진영!$A:$M,11,0),"")</f>
        <v>0</v>
      </c>
      <c r="R26" s="58">
        <f>IFERROR(VLOOKUP($A26,[5]실험의뢰_장진영!$A:$M,12,0),"")</f>
        <v>0</v>
      </c>
      <c r="S26" s="58">
        <f>IFERROR(VLOOKUP($A26,[5]실험의뢰_장진영!$A:$M,13,0),"")</f>
        <v>0</v>
      </c>
      <c r="T26" s="58"/>
    </row>
    <row r="27" spans="1:20" ht="30" customHeight="1">
      <c r="A27" s="58" t="s">
        <v>206</v>
      </c>
      <c r="B27" s="58" t="str">
        <f>IFERROR(VLOOKUP($A27,[5]실험의뢰_장진영!$A:$M,3,0),"")</f>
        <v>아이오페 슈퍼바이탈 크림 50ML(24EC 외용기</v>
      </c>
      <c r="C27" s="58" t="str">
        <f>IFERROR(VLOOKUP($A27,[5]실험의뢰_장진영!$A:$M,9,0),"")</f>
        <v>M241151_01, M241159_02</v>
      </c>
      <c r="D27" s="69" t="str">
        <f>IFERROR(VLOOKUP($A27,[5]실험의뢰_장진영!$A:$M,7,0),"")</f>
        <v>SI1518</v>
      </c>
      <c r="E27" s="1">
        <v>45594</v>
      </c>
      <c r="F27" t="s">
        <v>74</v>
      </c>
      <c r="G27" s="1" t="s">
        <v>197</v>
      </c>
      <c r="I27" s="3"/>
      <c r="J27" s="46">
        <v>16</v>
      </c>
      <c r="L27" s="46" t="str">
        <f>실험지시[[#This Row],[금형코드]]</f>
        <v>M241151_01, M241159_02</v>
      </c>
      <c r="M27" s="60">
        <f>IFERROR(VLOOKUP($A27,[5]실험의뢰_장진영!$A:$M,5,0),"")</f>
        <v>40</v>
      </c>
      <c r="N27" s="58" t="str">
        <f>IFERROR(VLOOKUP($A27,[5]실험의뢰_장진영!$A:$M,4,0),"")</f>
        <v>2차 사출 요청, 완료회의 제출 용</v>
      </c>
      <c r="O27" s="59">
        <f>IFERROR(VLOOKUP($A27,[5]실험의뢰_장진영!$A:$M,6,0),"")</f>
        <v>45594</v>
      </c>
      <c r="P27" s="58" t="str">
        <f>IFERROR(VLOOKUP($A27,[5]실험의뢰_장진영!$A:$M,10,0),"")</f>
        <v>PN200</v>
      </c>
      <c r="Q27" s="58">
        <f>IFERROR(VLOOKUP($A27,[5]실험의뢰_장진영!$A:$M,11,0),"")</f>
        <v>0</v>
      </c>
      <c r="R27" s="58">
        <f>IFERROR(VLOOKUP($A27,[5]실험의뢰_장진영!$A:$M,12,0),"")</f>
        <v>0</v>
      </c>
      <c r="S27" s="58">
        <f>IFERROR(VLOOKUP($A27,[5]실험의뢰_장진영!$A:$M,13,0),"")</f>
        <v>0</v>
      </c>
      <c r="T27" s="58"/>
    </row>
    <row r="28" spans="1:20" ht="30" customHeight="1">
      <c r="A28" s="58" t="s">
        <v>210</v>
      </c>
      <c r="B28" s="58" t="str">
        <f>IFERROR(VLOOKUP($A28,[5]실험의뢰_장진영!$A:$M,3,0),"")</f>
        <v>아이오페 슈퍼바이탈 크림 50ML(24EC 용기받침</v>
      </c>
      <c r="C28" s="58" t="str">
        <f>IFERROR(VLOOKUP($A28,[5]실험의뢰_장진영!$A:$M,9,0),"")</f>
        <v>M241152_01, M241160_02</v>
      </c>
      <c r="D28" s="69" t="str">
        <f>IFERROR(VLOOKUP($A28,[5]실험의뢰_장진영!$A:$M,7,0),"")</f>
        <v>SI1520</v>
      </c>
      <c r="E28" s="1">
        <v>45594</v>
      </c>
      <c r="F28" t="s">
        <v>74</v>
      </c>
      <c r="G28" s="1" t="s">
        <v>197</v>
      </c>
      <c r="I28" s="3"/>
      <c r="J28" s="46">
        <v>16</v>
      </c>
      <c r="L28" s="46" t="str">
        <f>실험지시[[#This Row],[금형코드]]</f>
        <v>M241152_01, M241160_02</v>
      </c>
      <c r="M28" s="60">
        <f>IFERROR(VLOOKUP($A28,[5]실험의뢰_장진영!$A:$M,5,0),"")</f>
        <v>40</v>
      </c>
      <c r="N28" s="58" t="str">
        <f>IFERROR(VLOOKUP($A28,[5]실험의뢰_장진영!$A:$M,4,0),"")</f>
        <v>2차 사출 요청, 완료회의 제출 용</v>
      </c>
      <c r="O28" s="59">
        <f>IFERROR(VLOOKUP($A28,[5]실험의뢰_장진영!$A:$M,6,0),"")</f>
        <v>45594</v>
      </c>
      <c r="P28" s="58" t="str">
        <f>IFERROR(VLOOKUP($A28,[5]실험의뢰_장진영!$A:$M,10,0),"")</f>
        <v>PN200</v>
      </c>
      <c r="Q28" s="58">
        <f>IFERROR(VLOOKUP($A28,[5]실험의뢰_장진영!$A:$M,11,0),"")</f>
        <v>0</v>
      </c>
      <c r="R28" s="58">
        <f>IFERROR(VLOOKUP($A28,[5]실험의뢰_장진영!$A:$M,12,0),"")</f>
        <v>0</v>
      </c>
      <c r="S28" s="58">
        <f>IFERROR(VLOOKUP($A28,[5]실험의뢰_장진영!$A:$M,13,0),"")</f>
        <v>0</v>
      </c>
      <c r="T28" s="58"/>
    </row>
    <row r="29" spans="1:20" ht="30" customHeight="1">
      <c r="A29" s="58" t="s">
        <v>201</v>
      </c>
      <c r="B29" s="58" t="str">
        <f>IFERROR(VLOOKUP($A29,[5]실험의뢰_장진영!$A:$M,3,0),"")</f>
        <v>아이오페 슈퍼바이탈 크림 50ML(24EC 내용기</v>
      </c>
      <c r="C29" s="58" t="str">
        <f>IFERROR(VLOOKUP($A29,[5]실험의뢰_장진영!$A:$M,9,0),"")</f>
        <v>M241150_01, M241158_02</v>
      </c>
      <c r="D29" s="69" t="str">
        <f>IFERROR(VLOOKUP($A29,[5]실험의뢰_장진영!$A:$M,7,0),"")</f>
        <v>SI1519</v>
      </c>
      <c r="E29" s="1">
        <v>45595</v>
      </c>
      <c r="F29" t="s">
        <v>74</v>
      </c>
      <c r="G29" s="1" t="s">
        <v>202</v>
      </c>
      <c r="H29" t="s">
        <v>203</v>
      </c>
      <c r="I29" s="3">
        <v>4</v>
      </c>
      <c r="J29" s="46">
        <v>16</v>
      </c>
      <c r="L29" s="46" t="str">
        <f>실험지시[[#This Row],[금형코드]]</f>
        <v>M241150_01, M241158_02</v>
      </c>
      <c r="M29" s="60">
        <f>IFERROR(VLOOKUP($A29,[5]실험의뢰_장진영!$A:$M,5,0),"")</f>
        <v>40</v>
      </c>
      <c r="N29" s="58" t="str">
        <f>IFERROR(VLOOKUP($A29,[5]실험의뢰_장진영!$A:$M,4,0),"")</f>
        <v>1차 내용기 사출 요청, 완료회의 제출 시료, 수정사항 확인 용</v>
      </c>
      <c r="O29" s="59">
        <f>IFERROR(VLOOKUP($A29,[5]실험의뢰_장진영!$A:$M,6,0),"")</f>
        <v>45594</v>
      </c>
      <c r="P29" s="58" t="str">
        <f>IFERROR(VLOOKUP($A29,[5]실험의뢰_장진영!$A:$M,10,0),"")</f>
        <v>J560K </v>
      </c>
      <c r="Q29" s="58" t="str">
        <f>IFERROR(VLOOKUP($A29,[5]실험의뢰_장진영!$A:$M,11,0),"")</f>
        <v>SW240613-10</v>
      </c>
      <c r="R29" s="58">
        <f>IFERROR(VLOOKUP($A29,[5]실험의뢰_장진영!$A:$M,12,0),"")</f>
        <v>4</v>
      </c>
      <c r="S29" s="58">
        <f>IFERROR(VLOOKUP($A29,[5]실험의뢰_장진영!$A:$M,13,0),"")</f>
        <v>0</v>
      </c>
      <c r="T29" s="58"/>
    </row>
    <row r="30" spans="1:20" ht="30" customHeight="1">
      <c r="A30" s="58" t="s">
        <v>204</v>
      </c>
      <c r="B30" s="58" t="str">
        <f>IFERROR(VLOOKUP($A30,[5]실험의뢰_장진영!$A:$M,3,0),"")</f>
        <v>PET 사출핀</v>
      </c>
      <c r="C30" s="58" t="str">
        <f>IFERROR(VLOOKUP($A30,[5]실험의뢰_장진영!$A:$M,9,0),"")</f>
        <v>S241013_01</v>
      </c>
      <c r="D30" s="69">
        <f>IFERROR(VLOOKUP($A30,[5]실험의뢰_장진영!$A:$M,7,0),"")</f>
        <v>0</v>
      </c>
      <c r="E30" s="1">
        <v>45602</v>
      </c>
      <c r="F30" t="s">
        <v>74</v>
      </c>
      <c r="G30" t="s">
        <v>205</v>
      </c>
      <c r="I30" s="3"/>
      <c r="J30" s="46">
        <v>20</v>
      </c>
      <c r="L30" s="46" t="str">
        <f>실험지시[[#This Row],[금형코드]]</f>
        <v>S241013_01</v>
      </c>
      <c r="M30" s="60">
        <f>IFERROR(VLOOKUP($A30,[5]실험의뢰_장진영!$A:$M,5,0),"")</f>
        <v>200</v>
      </c>
      <c r="N30" s="58" t="str">
        <f>IFERROR(VLOOKUP($A30,[5]실험의뢰_장진영!$A:$M,4,0),"")</f>
        <v>T2</v>
      </c>
      <c r="O30" s="59">
        <f>IFERROR(VLOOKUP($A30,[5]실험의뢰_장진영!$A:$M,6,0),"")</f>
        <v>45593</v>
      </c>
      <c r="P30" s="58" t="str">
        <f>IFERROR(VLOOKUP($A30,[5]실험의뢰_장진영!$A:$M,10,0),"")</f>
        <v>PBT</v>
      </c>
      <c r="Q30" s="58" t="str">
        <f>IFERROR(VLOOKUP($A30,[5]실험의뢰_장진영!$A:$M,11,0),"")</f>
        <v>내츄럴</v>
      </c>
      <c r="R30" s="58">
        <f>IFERROR(VLOOKUP($A30,[5]실험의뢰_장진영!$A:$M,12,0),"")</f>
        <v>0</v>
      </c>
      <c r="S30" s="58" t="str">
        <f>IFERROR(VLOOKUP($A30,[5]실험의뢰_장진영!$A:$M,13,0),"")</f>
        <v xml:space="preserve">일정 조정 필요하면 얘기해주시면 조정하겠습니다. </v>
      </c>
      <c r="T30" s="58"/>
    </row>
    <row r="31" spans="1:20" ht="30" customHeight="1">
      <c r="A31" s="58" t="s">
        <v>212</v>
      </c>
      <c r="B31" s="58" t="str">
        <f>IFERROR(VLOOKUP($A31,[5]실험의뢰_장진영!$A:$M,3,0),"")</f>
        <v>아이오페 스템Ⅲ 클리니컬 리커버리 크림 50ML(25) 캡장식 사출</v>
      </c>
      <c r="C31" s="58" t="str">
        <f>IFERROR(VLOOKUP($A31,[5]실험의뢰_장진영!$A:$M,9,0),"")</f>
        <v>M241344_01</v>
      </c>
      <c r="D31" s="69" t="str">
        <f>IFERROR(VLOOKUP($A31,[5]실험의뢰_장진영!$A:$M,7,0),"")</f>
        <v>SI1540</v>
      </c>
      <c r="E31" s="1">
        <v>45596</v>
      </c>
      <c r="F31" t="s">
        <v>74</v>
      </c>
      <c r="G31" s="1" t="s">
        <v>197</v>
      </c>
      <c r="I31" s="3"/>
      <c r="J31" s="46">
        <v>16</v>
      </c>
      <c r="K31" s="74">
        <v>1023</v>
      </c>
      <c r="L31" s="46" t="str">
        <f>실험지시[[#This Row],[금형코드]]</f>
        <v>M241344_01</v>
      </c>
      <c r="M31" s="60">
        <f>IFERROR(VLOOKUP($A31,[5]실험의뢰_장진영!$A:$M,5,0),"")</f>
        <v>50</v>
      </c>
      <c r="N31" s="58" t="str">
        <f>IFERROR(VLOOKUP($A31,[5]실험의뢰_장진영!$A:$M,4,0),"")</f>
        <v>T2 시사출, 수정사항 확인</v>
      </c>
      <c r="O31" s="59">
        <f>IFERROR(VLOOKUP($A31,[5]실험의뢰_장진영!$A:$M,6,0),"")</f>
        <v>45596</v>
      </c>
      <c r="P31" s="58" t="str">
        <f>IFERROR(VLOOKUP($A31,[5]실험의뢰_장진영!$A:$M,10,0),"")</f>
        <v>PETG (SK케미칼 PN200)</v>
      </c>
      <c r="Q31" s="58" t="str">
        <f>IFERROR(VLOOKUP($A31,[5]실험의뢰_장진영!$A:$M,11,0),"")</f>
        <v>증착사양</v>
      </c>
      <c r="R31" s="58">
        <f>IFERROR(VLOOKUP($A31,[5]실험의뢰_장진영!$A:$M,12,0),"")</f>
        <v>0</v>
      </c>
      <c r="S31" s="58" t="str">
        <f>IFERROR(VLOOKUP($A31,[5]실험의뢰_장진영!$A:$M,13,0),"")</f>
        <v>31일(목) 사출해서 태가로 이동해서 11월 1일(금) 증착해서 11월 4일 t2미팅해야 합니다.</v>
      </c>
      <c r="T31" s="58"/>
    </row>
    <row r="32" spans="1:20" ht="30" customHeight="1">
      <c r="A32" s="58" t="s">
        <v>213</v>
      </c>
      <c r="B32" s="58" t="str">
        <f>IFERROR(VLOOKUP($A32,[5]실험의뢰_장진영!$A:$M,3,0),"")</f>
        <v>아이오페 스템Ⅲ 클리니컬 리커버리 크림 50ML(25) 내캡 사출</v>
      </c>
      <c r="C32" s="58" t="str">
        <f>IFERROR(VLOOKUP($A32,[5]실험의뢰_장진영!$A:$M,9,0),"")</f>
        <v>M241343_01</v>
      </c>
      <c r="D32" s="69" t="str">
        <f>IFERROR(VLOOKUP($A32,[5]실험의뢰_장진영!$A:$M,7,0),"")</f>
        <v>SI1542</v>
      </c>
      <c r="E32" s="1">
        <v>45596</v>
      </c>
      <c r="F32" t="s">
        <v>74</v>
      </c>
      <c r="G32" s="1" t="s">
        <v>157</v>
      </c>
      <c r="H32" t="s">
        <v>147</v>
      </c>
      <c r="I32" s="47">
        <v>4</v>
      </c>
      <c r="J32" s="46">
        <v>16</v>
      </c>
      <c r="K32" s="74">
        <v>1023</v>
      </c>
      <c r="L32" s="46" t="str">
        <f>실험지시[[#This Row],[금형코드]]</f>
        <v>M241343_01</v>
      </c>
      <c r="M32" s="60">
        <f>IFERROR(VLOOKUP($A32,[5]실험의뢰_장진영!$A:$M,5,0),"")</f>
        <v>50</v>
      </c>
      <c r="N32" s="58" t="str">
        <f>IFERROR(VLOOKUP($A32,[5]실험의뢰_장진영!$A:$M,4,0),"")</f>
        <v>T2 시사출, 수정사항 확인</v>
      </c>
      <c r="O32" s="59">
        <f>IFERROR(VLOOKUP($A32,[5]실험의뢰_장진영!$A:$M,6,0),"")</f>
        <v>45596</v>
      </c>
      <c r="P32" s="58" t="str">
        <f>IFERROR(VLOOKUP($A32,[5]실험의뢰_장진영!$A:$M,10,0),"")</f>
        <v>PP (롯데케미칼 J-560S)</v>
      </c>
      <c r="Q32" s="58" t="str">
        <f>IFERROR(VLOOKUP($A32,[5]실험의뢰_장진영!$A:$M,11,0),"")</f>
        <v>증착사양</v>
      </c>
      <c r="R32" s="58">
        <f>IFERROR(VLOOKUP($A32,[5]실험의뢰_장진영!$A:$M,12,0),"")</f>
        <v>0</v>
      </c>
      <c r="S32" s="58" t="str">
        <f>IFERROR(VLOOKUP($A32,[5]실험의뢰_장진영!$A:$M,13,0),"")</f>
        <v>31일(목) 사출해서 태가로 이동해서 11월 1일(금) 증착해서 11월 4일 t2미팅해야 합니다.</v>
      </c>
      <c r="T32" s="58"/>
    </row>
    <row r="33" spans="1:20" ht="30" customHeight="1">
      <c r="A33" s="58" t="s">
        <v>214</v>
      </c>
      <c r="B33" s="58" t="str">
        <f>IFERROR(VLOOKUP($A33,[5]실험의뢰_장진영!$A:$M,3,0),"")</f>
        <v>아이오페 스템Ⅲ 클리니컬 리커버리 크림 50ML(25) 외캡 사출</v>
      </c>
      <c r="C33" s="58" t="str">
        <f>IFERROR(VLOOKUP($A33,[5]실험의뢰_장진영!$A:$M,9,0),"")</f>
        <v>M241342_01</v>
      </c>
      <c r="D33" s="69" t="str">
        <f>IFERROR(VLOOKUP($A33,[5]실험의뢰_장진영!$A:$M,7,0),"")</f>
        <v>SI1541</v>
      </c>
      <c r="E33" s="1">
        <v>45597</v>
      </c>
      <c r="F33" t="s">
        <v>74</v>
      </c>
      <c r="G33" s="1" t="s">
        <v>197</v>
      </c>
      <c r="I33" s="3"/>
      <c r="J33" s="46">
        <v>16</v>
      </c>
      <c r="L33" s="46" t="str">
        <f>실험지시[[#This Row],[금형코드]]</f>
        <v>M241342_01</v>
      </c>
      <c r="M33" s="60">
        <f>IFERROR(VLOOKUP($A33,[5]실험의뢰_장진영!$A:$M,5,0),"")</f>
        <v>50</v>
      </c>
      <c r="N33" s="58" t="str">
        <f>IFERROR(VLOOKUP($A33,[5]실험의뢰_장진영!$A:$M,4,0),"")</f>
        <v>T2 시사출, 수정사항 확인</v>
      </c>
      <c r="O33" s="59">
        <f>IFERROR(VLOOKUP($A33,[5]실험의뢰_장진영!$A:$M,6,0),"")</f>
        <v>45597</v>
      </c>
      <c r="P33" s="58" t="str">
        <f>IFERROR(VLOOKUP($A33,[5]실험의뢰_장진영!$A:$M,10,0),"")</f>
        <v>PETG (SK케미칼 PN200)</v>
      </c>
      <c r="Q33" s="58" t="str">
        <f>IFERROR(VLOOKUP($A33,[5]실험의뢰_장진영!$A:$M,11,0),"")</f>
        <v>투명</v>
      </c>
      <c r="R33" s="58">
        <f>IFERROR(VLOOKUP($A33,[5]실험의뢰_장진영!$A:$M,12,0),"")</f>
        <v>0</v>
      </c>
      <c r="S33" s="58">
        <f>IFERROR(VLOOKUP($A33,[5]실험의뢰_장진영!$A:$M,13,0),"")</f>
        <v>0</v>
      </c>
      <c r="T33" s="58"/>
    </row>
    <row r="34" spans="1:20" ht="30" customHeight="1">
      <c r="A34" s="58" t="s">
        <v>215</v>
      </c>
      <c r="B34" s="58" t="str">
        <f>IFERROR(VLOOKUP($A34,[5]실험의뢰_장진영!$A:$M,3,0),"")</f>
        <v/>
      </c>
      <c r="C34" s="58" t="str">
        <f>IFERROR(VLOOKUP($A34,[5]실험의뢰_장진영!$A:$M,9,0),"")</f>
        <v/>
      </c>
      <c r="D34" s="69" t="str">
        <f>IFERROR(VLOOKUP($A34,[5]실험의뢰_장진영!$A:$M,7,0),"")</f>
        <v/>
      </c>
      <c r="E34" s="1"/>
      <c r="G34" s="1" t="s">
        <v>157</v>
      </c>
      <c r="H34" t="s">
        <v>216</v>
      </c>
      <c r="I34" s="3">
        <v>4</v>
      </c>
      <c r="L34" s="46" t="str">
        <f>실험지시[[#This Row],[금형코드]]</f>
        <v/>
      </c>
      <c r="M34" s="60" t="str">
        <f>IFERROR(VLOOKUP($A34,[5]실험의뢰_장진영!$A:$M,5,0),"")</f>
        <v/>
      </c>
      <c r="N34" s="58" t="str">
        <f>IFERROR(VLOOKUP($A34,[5]실험의뢰_장진영!$A:$M,4,0),"")</f>
        <v/>
      </c>
      <c r="O34" s="59" t="str">
        <f>IFERROR(VLOOKUP($A34,[5]실험의뢰_장진영!$A:$M,6,0),"")</f>
        <v/>
      </c>
      <c r="P34" s="58" t="str">
        <f>IFERROR(VLOOKUP($A34,[5]실험의뢰_장진영!$A:$M,10,0),"")</f>
        <v/>
      </c>
      <c r="Q34" s="58" t="str">
        <f>IFERROR(VLOOKUP($A34,[5]실험의뢰_장진영!$A:$M,11,0),"")</f>
        <v/>
      </c>
      <c r="R34" s="58" t="str">
        <f>IFERROR(VLOOKUP($A34,[5]실험의뢰_장진영!$A:$M,12,0),"")</f>
        <v/>
      </c>
      <c r="S34" s="58" t="str">
        <f>IFERROR(VLOOKUP($A34,[5]실험의뢰_장진영!$A:$M,13,0),"")</f>
        <v/>
      </c>
      <c r="T34" s="58"/>
    </row>
    <row r="35" spans="1:20" ht="30" customHeight="1">
      <c r="A35" s="58" t="s">
        <v>218</v>
      </c>
      <c r="B35" s="58" t="str">
        <f>IFERROR(VLOOKUP($A35,[5]실험의뢰_장진영!$A:$M,3,0),"")</f>
        <v>설화수 진설클렌징폼 견본 40ml (25AD 외캡</v>
      </c>
      <c r="C35" s="58" t="str">
        <f>IFERROR(VLOOKUP($A35,[5]실험의뢰_장진영!$A:$M,9,0),"")</f>
        <v>M241286_01</v>
      </c>
      <c r="D35" s="69" t="str">
        <f>IFERROR(VLOOKUP($A35,[5]실험의뢰_장진영!$A:$M,7,0),"")</f>
        <v>SI1554</v>
      </c>
      <c r="E35" s="1">
        <v>45602</v>
      </c>
      <c r="F35" t="s">
        <v>114</v>
      </c>
      <c r="G35" s="1" t="s">
        <v>164</v>
      </c>
      <c r="H35" t="s">
        <v>165</v>
      </c>
      <c r="I35" s="3">
        <v>5</v>
      </c>
      <c r="J35" s="46">
        <v>29</v>
      </c>
      <c r="K35" s="74">
        <v>820</v>
      </c>
      <c r="L35" s="46" t="str">
        <f>실험지시[[#This Row],[금형코드]]</f>
        <v>M241286_01</v>
      </c>
      <c r="M35" s="60">
        <f>IFERROR(VLOOKUP($A35,[5]실험의뢰_장진영!$A:$M,5,0),"")</f>
        <v>100</v>
      </c>
      <c r="N35" s="58" t="str">
        <f>IFERROR(VLOOKUP($A35,[5]실험의뢰_장진영!$A:$M,4,0),"")</f>
        <v>표면 스크레치 확인</v>
      </c>
      <c r="O35" s="59">
        <f>IFERROR(VLOOKUP($A35,[5]실험의뢰_장진영!$A:$M,6,0),"")</f>
        <v>45601</v>
      </c>
      <c r="P35" s="58" t="str">
        <f>IFERROR(VLOOKUP($A35,[5]실험의뢰_장진영!$A:$M,10,0),"")</f>
        <v>ABS (롯데첨단소재 SL-0100)</v>
      </c>
      <c r="Q35" s="58" t="str">
        <f>IFERROR(VLOOKUP($A35,[5]실험의뢰_장진영!$A:$M,11,0),"")</f>
        <v>150ml 컬러코팅 샘플에 맞춰 다시 MB 맞춰야 함</v>
      </c>
      <c r="R35" s="58">
        <f>IFERROR(VLOOKUP($A35,[5]실험의뢰_장진영!$A:$M,12,0),"")</f>
        <v>0</v>
      </c>
      <c r="S35" s="58">
        <f>IFERROR(VLOOKUP($A35,[5]실험의뢰_장진영!$A:$M,13,0),"")</f>
        <v>0</v>
      </c>
      <c r="T35" s="58"/>
    </row>
    <row r="36" spans="1:20" ht="30" customHeight="1">
      <c r="A36" s="58" t="s">
        <v>237</v>
      </c>
      <c r="B36" s="58" t="str">
        <f>IFERROR(VLOOKUP($A36,[5]실험의뢰_장진영!$A:$M,3,0),"")</f>
        <v>설화수 진설클렌징폼 견본 40ml (25AD 내캡</v>
      </c>
      <c r="C36" s="58" t="str">
        <f>IFERROR(VLOOKUP($A36,[5]실험의뢰_장진영!$A:$M,9,0),"")</f>
        <v>M241285_01</v>
      </c>
      <c r="D36" s="69" t="str">
        <f>IFERROR(VLOOKUP($A36,[5]실험의뢰_장진영!$A:$M,7,0),"")</f>
        <v>SI1553</v>
      </c>
      <c r="E36" s="1">
        <v>45602</v>
      </c>
      <c r="F36" t="s">
        <v>114</v>
      </c>
      <c r="G36" s="1" t="s">
        <v>157</v>
      </c>
      <c r="H36" t="s">
        <v>147</v>
      </c>
      <c r="I36" s="47">
        <v>4</v>
      </c>
      <c r="J36" s="46">
        <v>29</v>
      </c>
      <c r="K36" s="74">
        <v>1012</v>
      </c>
      <c r="L36" s="46" t="str">
        <f>실험지시[[#This Row],[금형코드]]</f>
        <v>M241285_01</v>
      </c>
      <c r="M36" s="60">
        <f>IFERROR(VLOOKUP($A36,[5]실험의뢰_장진영!$A:$M,5,0),"")</f>
        <v>100</v>
      </c>
      <c r="N36" s="58" t="str">
        <f>IFERROR(VLOOKUP($A36,[5]실험의뢰_장진영!$A:$M,4,0),"")</f>
        <v>나사선 15도 돌린것 확인, 폴라이트 2.0T(우일에서 다시 사이즈 맞춘 것으로)</v>
      </c>
      <c r="O36" s="59">
        <f>IFERROR(VLOOKUP($A36,[5]실험의뢰_장진영!$A:$M,6,0),"")</f>
        <v>45601</v>
      </c>
      <c r="P36" s="58" t="str">
        <f>IFERROR(VLOOKUP($A36,[5]실험의뢰_장진영!$A:$M,10,0),"")</f>
        <v>PP (롯데케미칼 J-560S)</v>
      </c>
      <c r="Q36" s="58" t="str">
        <f>IFERROR(VLOOKUP($A36,[5]실험의뢰_장진영!$A:$M,11,0),"")</f>
        <v>KS360-1</v>
      </c>
      <c r="R36" s="58">
        <f>IFERROR(VLOOKUP($A36,[5]실험의뢰_장진영!$A:$M,12,0),"")</f>
        <v>3</v>
      </c>
      <c r="S36" s="58" t="str">
        <f>IFERROR(VLOOKUP($A36,[5]실험의뢰_장진영!$A:$M,13,0),"")</f>
        <v>조립해서 기능테스트 제출해야 함, 7일 시사출 미팅 진행 예정</v>
      </c>
      <c r="T36" s="58"/>
    </row>
    <row r="37" spans="1:20" ht="30" customHeight="1">
      <c r="A37" s="61" t="s">
        <v>238</v>
      </c>
      <c r="B37" s="58" t="str">
        <f>IFERROR(VLOOKUP($A37,[5]실험의뢰_장진영!$A:$M,3,0),"")</f>
        <v>아이오페 슈퍼바이탈 크림 50ML(24EC 내용기</v>
      </c>
      <c r="C37" s="58" t="str">
        <f>IFERROR(VLOOKUP($A37,[5]실험의뢰_장진영!$A:$M,9,0),"")</f>
        <v>M241150_01, M241158_02</v>
      </c>
      <c r="D37" s="69" t="str">
        <f>IFERROR(VLOOKUP($A37,[5]실험의뢰_장진영!$A:$M,7,0),"")</f>
        <v>SI1519</v>
      </c>
      <c r="E37" s="1">
        <v>45607</v>
      </c>
      <c r="F37" t="s">
        <v>161</v>
      </c>
      <c r="G37" s="1" t="s">
        <v>202</v>
      </c>
      <c r="H37" t="s">
        <v>203</v>
      </c>
      <c r="I37" s="3">
        <v>4</v>
      </c>
      <c r="J37" s="46" t="s">
        <v>169</v>
      </c>
      <c r="L37" s="46" t="str">
        <f>실험지시[[#This Row],[금형코드]]</f>
        <v>M241150_01, M241158_02</v>
      </c>
      <c r="M37" s="60">
        <f>IFERROR(VLOOKUP($A37,[5]실험의뢰_장진영!$A:$M,5,0),"")</f>
        <v>40</v>
      </c>
      <c r="N37" s="58" t="str">
        <f>IFERROR(VLOOKUP($A37,[5]실험의뢰_장진영!$A:$M,4,0),"")</f>
        <v>2차 내용기 사출 요청, 완료회의 제출 시료, 1차 수정한 내용기와 치수가 같아야 합니다. 사출 시 확인해주세요</v>
      </c>
      <c r="O37" s="59">
        <f>IFERROR(VLOOKUP($A37,[5]실험의뢰_장진영!$A:$M,6,0),"")</f>
        <v>45607</v>
      </c>
      <c r="P37" s="58" t="str">
        <f>IFERROR(VLOOKUP($A37,[5]실험의뢰_장진영!$A:$M,10,0),"")</f>
        <v>J560K </v>
      </c>
      <c r="Q37" s="58" t="str">
        <f>IFERROR(VLOOKUP($A37,[5]실험의뢰_장진영!$A:$M,11,0),"")</f>
        <v>SW240613-10</v>
      </c>
      <c r="R37" s="58">
        <f>IFERROR(VLOOKUP($A37,[5]실험의뢰_장진영!$A:$M,12,0),"")</f>
        <v>4</v>
      </c>
      <c r="S37" s="58" t="str">
        <f>IFERROR(VLOOKUP($A37,[5]실험의뢰_장진영!$A:$M,13,0),"")</f>
        <v>12일까지 감리처 제출해야 합니다. 1차 용기와 치수가 같아야 하고 스토퍼 감도 동일하게 나오는지 확인하고 제출하라고 합니다.</v>
      </c>
      <c r="T37" s="58"/>
    </row>
    <row r="38" spans="1:20" ht="30" customHeight="1">
      <c r="A38" s="58" t="s">
        <v>239</v>
      </c>
      <c r="B38" s="58" t="str">
        <f>IFERROR(VLOOKUP($A38,[5]실험의뢰_장진영!$A:$M,3,0),"")</f>
        <v>7518961 라네즈 퍼펙트리뉴 쓰리엑스 스킨 리파이너23AD(견 50ML 캡</v>
      </c>
      <c r="C38" s="58">
        <f>IFERROR(VLOOKUP($A38,[5]실험의뢰_장진영!$A:$M,9,0),"")</f>
        <v>0</v>
      </c>
      <c r="D38" s="69" t="str">
        <f>IFERROR(VLOOKUP($A38,[5]실험의뢰_장진영!$A:$M,7,0),"")</f>
        <v>SI1394</v>
      </c>
      <c r="E38" s="1">
        <v>45608</v>
      </c>
      <c r="F38" t="s">
        <v>161</v>
      </c>
      <c r="G38" s="1" t="s">
        <v>157</v>
      </c>
      <c r="I38" s="3"/>
      <c r="J38" s="46">
        <v>8</v>
      </c>
      <c r="L38" s="46">
        <f>실험지시[[#This Row],[금형코드]]</f>
        <v>0</v>
      </c>
      <c r="M38" s="60">
        <f>IFERROR(VLOOKUP($A38,[5]실험의뢰_장진영!$A:$M,5,0),"")</f>
        <v>500</v>
      </c>
      <c r="N38" s="58" t="str">
        <f>IFERROR(VLOOKUP($A38,[5]실험의뢰_장진영!$A:$M,4,0),"")</f>
        <v>신제품 적용, 기존 제출 샘플에서 증착박리 발생으로 다시 테스트 샘플 준비</v>
      </c>
      <c r="O38" s="59">
        <f>IFERROR(VLOOKUP($A38,[5]실험의뢰_장진영!$A:$M,6,0),"")</f>
        <v>45604</v>
      </c>
      <c r="P38" s="58">
        <f>IFERROR(VLOOKUP($A38,[5]실험의뢰_장진영!$A:$M,10,0),"")</f>
        <v>0</v>
      </c>
      <c r="Q38" s="58" t="str">
        <f>IFERROR(VLOOKUP($A38,[5]실험의뢰_장진영!$A:$M,11,0),"")</f>
        <v>투명</v>
      </c>
      <c r="R38" s="58">
        <f>IFERROR(VLOOKUP($A38,[5]실험의뢰_장진영!$A:$M,12,0),"")</f>
        <v>0</v>
      </c>
      <c r="S38" s="58" t="str">
        <f>IFERROR(VLOOKUP($A38,[5]실험의뢰_장진영!$A:$M,13,0),"")</f>
        <v>목요일에 후가공테스트넣는다고 목요일까지 제출 요청있습니다. 나라 코팅일정 필요하니11월 12일에는 나라에 보내야 합니다.</v>
      </c>
      <c r="T38" s="58"/>
    </row>
    <row r="39" spans="1:20" ht="30" customHeight="1">
      <c r="A39" s="58" t="s">
        <v>240</v>
      </c>
      <c r="B39" s="58" t="str">
        <f>IFERROR(VLOOKUP($A39,[5]실험의뢰_장진영!$A:$M,3,0),"")</f>
        <v>설화수 진설클렌징폼 150ml (25AD 캡장식</v>
      </c>
      <c r="C39" s="58" t="str">
        <f>IFERROR(VLOOKUP($A39,[5]실험의뢰_장진영!$A:$M,9,0),"")</f>
        <v>M241247_01</v>
      </c>
      <c r="D39" s="69" t="str">
        <f>IFERROR(VLOOKUP($A39,[5]실험의뢰_장진영!$A:$M,7,0),"")</f>
        <v>SI1537</v>
      </c>
      <c r="E39" s="1">
        <v>45608</v>
      </c>
      <c r="F39" t="s">
        <v>161</v>
      </c>
      <c r="G39" s="1" t="s">
        <v>164</v>
      </c>
      <c r="I39" s="3"/>
      <c r="J39" s="46">
        <v>8</v>
      </c>
      <c r="L39" s="46" t="str">
        <f>실험지시[[#This Row],[금형코드]]</f>
        <v>M241247_01</v>
      </c>
      <c r="M39" s="60">
        <f>IFERROR(VLOOKUP($A39,[5]실험의뢰_장진영!$A:$M,5,0),"")</f>
        <v>200</v>
      </c>
      <c r="N39" s="58" t="str">
        <f>IFERROR(VLOOKUP($A39,[5]실험의뢰_장진영!$A:$M,4,0),"")</f>
        <v>증착 색상테스트 및 후가공테스트 제출, 향후 표견에 활용</v>
      </c>
      <c r="O39" s="59">
        <f>IFERROR(VLOOKUP($A39,[5]실험의뢰_장진영!$A:$M,6,0),"")</f>
        <v>45609</v>
      </c>
      <c r="P39" s="58" t="str">
        <f>IFERROR(VLOOKUP($A39,[5]실험의뢰_장진영!$A:$M,10,0),"")</f>
        <v>ABS (롯데첨단소재 MP-0670)</v>
      </c>
      <c r="Q39" s="58" t="str">
        <f>IFERROR(VLOOKUP($A39,[5]실험의뢰_장진영!$A:$M,11,0),"")</f>
        <v>NATURAL</v>
      </c>
      <c r="R39" s="58">
        <f>IFERROR(VLOOKUP($A39,[5]실험의뢰_장진영!$A:$M,12,0),"")</f>
        <v>0</v>
      </c>
      <c r="S39" s="58" t="str">
        <f>IFERROR(VLOOKUP($A39,[5]실험의뢰_장진영!$A:$M,13,0),"")</f>
        <v>기존 증착샘플에 무광이 더 올라야 한다고 합니다.</v>
      </c>
      <c r="T39" s="58"/>
    </row>
    <row r="40" spans="1:20" ht="30" customHeight="1">
      <c r="A40" s="58" t="s">
        <v>241</v>
      </c>
      <c r="B40" s="58" t="str">
        <f>IFERROR(VLOOKUP($A40,[5]실험의뢰_장진영!$A:$M,3,0),"")</f>
        <v>아이오페 스템Ⅲ 클리니컬 리커버리 크림 50ML(25) 내캡 사출</v>
      </c>
      <c r="C40" s="58" t="str">
        <f>IFERROR(VLOOKUP($A40,[5]실험의뢰_장진영!$A:$M,9,0),"")</f>
        <v>M241343_01</v>
      </c>
      <c r="D40" s="69" t="str">
        <f>IFERROR(VLOOKUP($A40,[5]실험의뢰_장진영!$A:$M,7,0),"")</f>
        <v>SI1542</v>
      </c>
      <c r="E40" s="1">
        <v>45609</v>
      </c>
      <c r="F40" t="s">
        <v>161</v>
      </c>
      <c r="G40" s="1" t="s">
        <v>157</v>
      </c>
      <c r="H40" t="s">
        <v>147</v>
      </c>
      <c r="I40" s="3">
        <v>4</v>
      </c>
      <c r="J40" s="46">
        <v>8</v>
      </c>
      <c r="K40" s="74">
        <v>1106</v>
      </c>
      <c r="L40" s="46" t="str">
        <f>실험지시[[#This Row],[금형코드]]</f>
        <v>M241343_01</v>
      </c>
      <c r="M40" s="60">
        <f>IFERROR(VLOOKUP($A40,[5]실험의뢰_장진영!$A:$M,5,0),"")</f>
        <v>100</v>
      </c>
      <c r="N40" s="58" t="str">
        <f>IFERROR(VLOOKUP($A40,[5]실험의뢰_장진영!$A:$M,4,0),"")</f>
        <v>T3 시사출, 수정사항 확인(외캡 조립 언더컷 부위)</v>
      </c>
      <c r="O40" s="59">
        <f>IFERROR(VLOOKUP($A40,[5]실험의뢰_장진영!$A:$M,6,0),"")</f>
        <v>45609</v>
      </c>
      <c r="P40" s="58" t="str">
        <f>IFERROR(VLOOKUP($A40,[5]실험의뢰_장진영!$A:$M,10,0),"")</f>
        <v>PP (롯데케미칼 J-560S)</v>
      </c>
      <c r="Q40" s="58" t="str">
        <f>IFERROR(VLOOKUP($A40,[5]실험의뢰_장진영!$A:$M,11,0),"")</f>
        <v>증착사양</v>
      </c>
      <c r="R40" s="58">
        <f>IFERROR(VLOOKUP($A40,[5]실험의뢰_장진영!$A:$M,12,0),"")</f>
        <v>0</v>
      </c>
      <c r="S40" s="58" t="str">
        <f>IFERROR(VLOOKUP($A40,[5]실험의뢰_장진영!$A:$M,13,0),"")</f>
        <v>14일 증착해서 15일 2시 T3 미팅에 제출해야 합니다.</v>
      </c>
      <c r="T40" s="58"/>
    </row>
    <row r="41" spans="1:20" ht="30" customHeight="1">
      <c r="A41" s="58" t="s">
        <v>242</v>
      </c>
      <c r="B41" s="58" t="str">
        <f>IFERROR(VLOOKUP($A41,[5]실험의뢰_장진영!$A:$M,3,0),"")</f>
        <v>아이오페 스템Ⅲ 클리니컬 리커버리 크림 50ML(25) 캡장식 사출</v>
      </c>
      <c r="C41" s="58" t="str">
        <f>IFERROR(VLOOKUP($A41,[5]실험의뢰_장진영!$A:$M,9,0),"")</f>
        <v>M241344_01</v>
      </c>
      <c r="D41" s="69" t="str">
        <f>IFERROR(VLOOKUP($A41,[5]실험의뢰_장진영!$A:$M,7,0),"")</f>
        <v>SI1540</v>
      </c>
      <c r="E41" s="1">
        <v>45609</v>
      </c>
      <c r="F41" t="s">
        <v>161</v>
      </c>
      <c r="G41" s="1" t="s">
        <v>197</v>
      </c>
      <c r="I41" s="3"/>
      <c r="J41" s="46">
        <v>8</v>
      </c>
      <c r="K41" s="74">
        <v>1106</v>
      </c>
      <c r="L41" s="46" t="str">
        <f>실험지시[[#This Row],[금형코드]]</f>
        <v>M241344_01</v>
      </c>
      <c r="M41" s="60">
        <f>IFERROR(VLOOKUP($A41,[5]실험의뢰_장진영!$A:$M,5,0),"")</f>
        <v>100</v>
      </c>
      <c r="N41" s="58" t="str">
        <f>IFERROR(VLOOKUP($A41,[5]실험의뢰_장진영!$A:$M,4,0),"")</f>
        <v>T3 시사출, 수정사항 확인(외경 0.1)</v>
      </c>
      <c r="O41" s="59">
        <f>IFERROR(VLOOKUP($A41,[5]실험의뢰_장진영!$A:$M,6,0),"")</f>
        <v>45609</v>
      </c>
      <c r="P41" s="58" t="str">
        <f>IFERROR(VLOOKUP($A41,[5]실험의뢰_장진영!$A:$M,10,0),"")</f>
        <v>PETG (SK케미칼 PN200)</v>
      </c>
      <c r="Q41" s="58" t="str">
        <f>IFERROR(VLOOKUP($A41,[5]실험의뢰_장진영!$A:$M,11,0),"")</f>
        <v>증착사양</v>
      </c>
      <c r="R41" s="58">
        <f>IFERROR(VLOOKUP($A41,[5]실험의뢰_장진영!$A:$M,12,0),"")</f>
        <v>0</v>
      </c>
      <c r="S41" s="58">
        <f>IFERROR(VLOOKUP($A41,[5]실험의뢰_장진영!$A:$M,13,0),"")</f>
        <v>0</v>
      </c>
      <c r="T41" s="58"/>
    </row>
    <row r="42" spans="1:20" ht="30" customHeight="1">
      <c r="A42" s="58" t="s">
        <v>243</v>
      </c>
      <c r="B42" s="58" t="str">
        <f>IFERROR(VLOOKUP($A42,[5]실험의뢰_장진영!$A:$M,3,0),"")</f>
        <v>설화수 진설클렌징폼 견본 40ml (25AD 외캡</v>
      </c>
      <c r="C42" s="58" t="str">
        <f>IFERROR(VLOOKUP($A42,[5]실험의뢰_장진영!$A:$M,9,0),"")</f>
        <v>M241286_01</v>
      </c>
      <c r="D42" s="69" t="str">
        <f>IFERROR(VLOOKUP($A42,[5]실험의뢰_장진영!$A:$M,7,0),"")</f>
        <v>SI1554</v>
      </c>
      <c r="E42" s="1">
        <v>45615</v>
      </c>
      <c r="F42" t="s">
        <v>161</v>
      </c>
      <c r="G42" s="1" t="s">
        <v>246</v>
      </c>
      <c r="H42" t="s">
        <v>165</v>
      </c>
      <c r="I42" s="3">
        <v>4</v>
      </c>
      <c r="J42" s="46" t="s">
        <v>169</v>
      </c>
      <c r="K42" s="74">
        <v>1108</v>
      </c>
      <c r="L42" s="46" t="str">
        <f>실험지시[[#This Row],[금형코드]]</f>
        <v>M241286_01</v>
      </c>
      <c r="M42" s="60">
        <f>IFERROR(VLOOKUP($A42,[5]실험의뢰_장진영!$A:$M,5,0),"")</f>
        <v>100</v>
      </c>
      <c r="N42" s="58" t="str">
        <f>IFERROR(VLOOKUP($A42,[5]실험의뢰_장진영!$A:$M,4,0),"")</f>
        <v>표면 스크레치 확인, 지난번 제출한 색상샘플에서 4%로 컨펌됨</v>
      </c>
      <c r="O42" s="59">
        <f>IFERROR(VLOOKUP($A42,[5]실험의뢰_장진영!$A:$M,6,0),"")</f>
        <v>45610</v>
      </c>
      <c r="P42" s="58" t="str">
        <f>IFERROR(VLOOKUP($A42,[5]실험의뢰_장진영!$A:$M,10,0),"")</f>
        <v>ABS (롯데첨단소재 SL-0100)</v>
      </c>
      <c r="Q42" s="58" t="str">
        <f>IFERROR(VLOOKUP($A42,[5]실험의뢰_장진영!$A:$M,11,0),"")</f>
        <v>신규MB입고</v>
      </c>
      <c r="R42" s="58">
        <f>IFERROR(VLOOKUP($A42,[5]실험의뢰_장진영!$A:$M,12,0),"")</f>
        <v>0</v>
      </c>
      <c r="S42" s="58" t="str">
        <f>IFERROR(VLOOKUP($A42,[5]실험의뢰_장진영!$A:$M,13,0),"")</f>
        <v>색상실험 부탁합니다. 무광원료도 같이 실험해주세요!!, 스크래치 개선위해 온수사용 요청있습니다.</v>
      </c>
      <c r="T42" s="58"/>
    </row>
    <row r="43" spans="1:20" ht="30" customHeight="1">
      <c r="A43" s="58" t="s">
        <v>244</v>
      </c>
      <c r="B43" s="58" t="str">
        <f>IFERROR(VLOOKUP($A43,[5]실험의뢰_장진영!$A:$M,3,0),"")</f>
        <v>설화수 진설클렌징폼 견본 40ml (25AD 내캡</v>
      </c>
      <c r="C43" s="58" t="str">
        <f>IFERROR(VLOOKUP($A43,[5]실험의뢰_장진영!$A:$M,9,0),"")</f>
        <v>M241285_01</v>
      </c>
      <c r="D43" s="69" t="str">
        <f>IFERROR(VLOOKUP($A43,[5]실험의뢰_장진영!$A:$M,7,0),"")</f>
        <v>SI1553</v>
      </c>
      <c r="E43" s="1">
        <v>45615</v>
      </c>
      <c r="F43" t="s">
        <v>161</v>
      </c>
      <c r="G43" s="1" t="s">
        <v>157</v>
      </c>
      <c r="H43" t="s">
        <v>259</v>
      </c>
      <c r="I43" s="3">
        <v>4</v>
      </c>
      <c r="J43" s="46" t="s">
        <v>169</v>
      </c>
      <c r="K43" s="74">
        <v>1012</v>
      </c>
      <c r="L43" s="46" t="str">
        <f>실험지시[[#This Row],[금형코드]]</f>
        <v>M241285_01</v>
      </c>
      <c r="M43" s="60" t="str">
        <f>IFERROR(VLOOKUP($A43,[5]실험의뢰_장진영!$A:$M,5,0),"")</f>
        <v>각 80</v>
      </c>
      <c r="N43" s="58" t="str">
        <f>IFERROR(VLOOKUP($A43,[5]실험의뢰_장진영!$A:$M,4,0),"")</f>
        <v>색상실험, 후가공 테스트 제출, 향후 표견</v>
      </c>
      <c r="O43" s="59">
        <f>IFERROR(VLOOKUP($A43,[5]실험의뢰_장진영!$A:$M,6,0),"")</f>
        <v>45610</v>
      </c>
      <c r="P43" s="58" t="str">
        <f>IFERROR(VLOOKUP($A43,[5]실험의뢰_장진영!$A:$M,10,0),"")</f>
        <v>PP (롯데케미칼 J-560S)</v>
      </c>
      <c r="Q43" s="58" t="str">
        <f>IFERROR(VLOOKUP($A43,[5]실험의뢰_장진영!$A:$M,11,0),"")</f>
        <v>신규MB입고</v>
      </c>
      <c r="R43" s="58">
        <f>IFERROR(VLOOKUP($A43,[5]실험의뢰_장진영!$A:$M,12,0),"")</f>
        <v>0</v>
      </c>
      <c r="S43" s="58" t="str">
        <f>IFERROR(VLOOKUP($A43,[5]실험의뢰_장진영!$A:$M,13,0),"")</f>
        <v xml:space="preserve">색상테스트 진행 시 컨펌된 색상으로 후가공테스트 바로 제출할 수 있도록 각각 수량을 80개씩 사출해 주시면 좋겠습니다. </v>
      </c>
      <c r="T43" s="58"/>
    </row>
    <row r="44" spans="1:20" ht="30" customHeight="1">
      <c r="A44" s="58" t="s">
        <v>247</v>
      </c>
      <c r="B44" s="58" t="str">
        <f>IFERROR(VLOOKUP($A44,[5]실험의뢰_장진영!$A:$M,3,0),"")</f>
        <v>라보에이치 모발강화 트리트먼트 200ml 50파이 원터치캡</v>
      </c>
      <c r="C44" s="58" t="str">
        <f>IFERROR(VLOOKUP($A44,[5]실험의뢰_장진영!$A:$M,9,0),"")</f>
        <v>M241332-01</v>
      </c>
      <c r="D44" s="69" t="str">
        <f>IFERROR(VLOOKUP($A44,[5]실험의뢰_장진영!$A:$M,7,0),"")</f>
        <v>SI1557</v>
      </c>
      <c r="E44" s="1">
        <v>45618</v>
      </c>
      <c r="F44" t="s">
        <v>161</v>
      </c>
      <c r="G44" s="1" t="s">
        <v>157</v>
      </c>
      <c r="H44" t="s">
        <v>252</v>
      </c>
      <c r="I44" s="3">
        <v>5</v>
      </c>
      <c r="J44" s="46">
        <v>29</v>
      </c>
      <c r="L44" s="46" t="str">
        <f>실험지시[[#This Row],[금형코드]]</f>
        <v>M241332-01</v>
      </c>
      <c r="M44" s="60">
        <f>IFERROR(VLOOKUP($A44,[5]실험의뢰_장진영!$A:$M,5,0),"")</f>
        <v>80</v>
      </c>
      <c r="N44" s="58" t="str">
        <f>IFERROR(VLOOKUP($A44,[5]실험의뢰_장진영!$A:$M,4,0),"")</f>
        <v>T2 시사출, 아이팩 제품</v>
      </c>
      <c r="O44" s="59">
        <f>IFERROR(VLOOKUP($A44,[5]실험의뢰_장진영!$A:$M,6,0),"")</f>
        <v>45614</v>
      </c>
      <c r="P44" s="58" t="str">
        <f>IFERROR(VLOOKUP($A44,[5]실험의뢰_장진영!$A:$M,10,0),"")</f>
        <v>PP (롯데케미칼 J-560S)</v>
      </c>
      <c r="Q44" s="58" t="str">
        <f>IFERROR(VLOOKUP($A44,[5]실험의뢰_장진영!$A:$M,11,0),"")</f>
        <v>수정된 MB로 사출해야 합니다</v>
      </c>
      <c r="R44" s="58">
        <f>IFERROR(VLOOKUP($A44,[5]실험의뢰_장진영!$A:$M,12,0),"")</f>
        <v>0</v>
      </c>
      <c r="S44" s="58">
        <f>IFERROR(VLOOKUP($A44,[5]실험의뢰_장진영!$A:$M,13,0),"")</f>
        <v>0</v>
      </c>
      <c r="T44" s="58"/>
    </row>
    <row r="45" spans="1:20" ht="30" customHeight="1">
      <c r="A45" s="58" t="s">
        <v>248</v>
      </c>
      <c r="B45" s="58" t="str">
        <f>IFERROR(VLOOKUP($A45,[5]실험의뢰_장진영!$A:$M,3,0),"")</f>
        <v>라보에이치 모발강화 트리트먼트 300ml 60파이 원터치캡</v>
      </c>
      <c r="C45" s="58" t="str">
        <f>IFERROR(VLOOKUP($A45,[5]실험의뢰_장진영!$A:$M,9,0),"")</f>
        <v>M241336-01</v>
      </c>
      <c r="D45" s="69" t="str">
        <f>IFERROR(VLOOKUP($A45,[5]실험의뢰_장진영!$A:$M,7,0),"")</f>
        <v>SI1559</v>
      </c>
      <c r="E45" s="1">
        <v>45618</v>
      </c>
      <c r="F45" t="s">
        <v>161</v>
      </c>
      <c r="G45" s="1" t="s">
        <v>157</v>
      </c>
      <c r="H45" t="s">
        <v>252</v>
      </c>
      <c r="I45" s="3">
        <v>5</v>
      </c>
      <c r="J45" s="46">
        <v>29</v>
      </c>
      <c r="L45" s="46" t="str">
        <f>실험지시[[#This Row],[금형코드]]</f>
        <v>M241336-01</v>
      </c>
      <c r="M45" s="60">
        <f>IFERROR(VLOOKUP($A45,[5]실험의뢰_장진영!$A:$M,5,0),"")</f>
        <v>80</v>
      </c>
      <c r="N45" s="58" t="str">
        <f>IFERROR(VLOOKUP($A45,[5]실험의뢰_장진영!$A:$M,4,0),"")</f>
        <v>T2 시사출</v>
      </c>
      <c r="O45" s="59">
        <f>IFERROR(VLOOKUP($A45,[5]실험의뢰_장진영!$A:$M,6,0),"")</f>
        <v>45614</v>
      </c>
      <c r="P45" s="58">
        <f>IFERROR(VLOOKUP($A45,[5]실험의뢰_장진영!$A:$M,10,0),"")</f>
        <v>0</v>
      </c>
      <c r="Q45" s="58">
        <f>IFERROR(VLOOKUP($A45,[5]실험의뢰_장진영!$A:$M,11,0),"")</f>
        <v>0</v>
      </c>
      <c r="R45" s="58">
        <f>IFERROR(VLOOKUP($A45,[5]실험의뢰_장진영!$A:$M,12,0),"")</f>
        <v>0</v>
      </c>
      <c r="S45" s="58">
        <f>IFERROR(VLOOKUP($A45,[5]실험의뢰_장진영!$A:$M,13,0),"")</f>
        <v>0</v>
      </c>
      <c r="T45" s="58"/>
    </row>
    <row r="46" spans="1:20" ht="30" customHeight="1">
      <c r="A46" s="58" t="s">
        <v>249</v>
      </c>
      <c r="B46" s="58" t="str">
        <f>IFERROR(VLOOKUP($A46,[5]실험의뢰_장진영!$A:$M,3,0),"")</f>
        <v>설화수 진설클렌징폼 견본 15ml (25AD 외캡</v>
      </c>
      <c r="C46" s="58" t="str">
        <f>IFERROR(VLOOKUP($A46,[5]실험의뢰_장진영!$A:$M,9,0),"")</f>
        <v>M241283_01</v>
      </c>
      <c r="D46" s="69" t="str">
        <f>IFERROR(VLOOKUP($A46,[5]실험의뢰_장진영!$A:$M,7,0),"")</f>
        <v>SI1544</v>
      </c>
      <c r="E46" s="1">
        <v>45616</v>
      </c>
      <c r="F46" t="s">
        <v>161</v>
      </c>
      <c r="G46" s="1" t="s">
        <v>157</v>
      </c>
      <c r="H46" t="s">
        <v>245</v>
      </c>
      <c r="I46" s="3">
        <v>4</v>
      </c>
      <c r="J46" s="46" t="s">
        <v>169</v>
      </c>
      <c r="L46" s="46" t="str">
        <f>실험지시[[#This Row],[금형코드]]</f>
        <v>M241283_01</v>
      </c>
      <c r="M46" s="60" t="str">
        <f>IFERROR(VLOOKUP($A46,[5]실험의뢰_장진영!$A:$M,5,0),"")</f>
        <v>각 80</v>
      </c>
      <c r="N46" s="58" t="str">
        <f>IFERROR(VLOOKUP($A46,[5]실험의뢰_장진영!$A:$M,4,0),"")</f>
        <v>후가공 테스트용 샘플, 표견용 포함, 색상테스트 포함</v>
      </c>
      <c r="O46" s="59">
        <f>IFERROR(VLOOKUP($A46,[5]실험의뢰_장진영!$A:$M,6,0),"")</f>
        <v>45616</v>
      </c>
      <c r="P46" s="58" t="str">
        <f>IFERROR(VLOOKUP($A46,[5]실험의뢰_장진영!$A:$M,10,0),"")</f>
        <v>PP (롯데케미칼 J-560S)</v>
      </c>
      <c r="Q46" s="58" t="str">
        <f>IFERROR(VLOOKUP($A46,[5]실험의뢰_장진영!$A:$M,11,0),"")</f>
        <v>신규MB입고</v>
      </c>
      <c r="R46" s="58">
        <f>IFERROR(VLOOKUP($A46,[5]실험의뢰_장진영!$A:$M,12,0),"")</f>
        <v>0</v>
      </c>
      <c r="S46" s="58" t="str">
        <f>IFERROR(VLOOKUP($A46,[5]실험의뢰_장진영!$A:$M,13,0),"")</f>
        <v xml:space="preserve">색상테스트 진행 시 컨펌된 색상으로 후가공테스트 바로 제출할 수 있도록 각각 수량을 80개씩 사출해 주시면 좋겠습니다. </v>
      </c>
      <c r="T46" s="58"/>
    </row>
    <row r="47" spans="1:20" ht="30" customHeight="1">
      <c r="A47" s="58" t="s">
        <v>250</v>
      </c>
      <c r="B47" s="58" t="str">
        <f>IFERROR(VLOOKUP($A47,[5]실험의뢰_장진영!$A:$M,3,0),"")</f>
        <v>설화수 진설클렌징폼 견본 15ml (25AD 내캡</v>
      </c>
      <c r="C47" s="58" t="str">
        <f>IFERROR(VLOOKUP($A47,[5]실험의뢰_장진영!$A:$M,9,0),"")</f>
        <v>M241282_01</v>
      </c>
      <c r="D47" s="69" t="str">
        <f>IFERROR(VLOOKUP($A47,[5]실험의뢰_장진영!$A:$M,7,0),"")</f>
        <v>SI1545</v>
      </c>
      <c r="E47" s="1">
        <v>45616</v>
      </c>
      <c r="F47" t="s">
        <v>161</v>
      </c>
      <c r="G47" s="1" t="s">
        <v>157</v>
      </c>
      <c r="H47" t="s">
        <v>199</v>
      </c>
      <c r="I47" s="3">
        <v>7</v>
      </c>
      <c r="J47" s="46" t="s">
        <v>169</v>
      </c>
      <c r="K47" s="74">
        <v>1019</v>
      </c>
      <c r="L47" s="46" t="str">
        <f>실험지시[[#This Row],[금형코드]]</f>
        <v>M241282_01</v>
      </c>
      <c r="M47" s="60">
        <f>IFERROR(VLOOKUP($A47,[5]실험의뢰_장진영!$A:$M,5,0),"")</f>
        <v>100</v>
      </c>
      <c r="N47" s="58" t="str">
        <f>IFERROR(VLOOKUP($A47,[5]실험의뢰_장진영!$A:$M,4,0),"")</f>
        <v>후가공 테스트용 샘플, 표견용 포함</v>
      </c>
      <c r="O47" s="59">
        <f>IFERROR(VLOOKUP($A47,[5]실험의뢰_장진영!$A:$M,6,0),"")</f>
        <v>45616</v>
      </c>
      <c r="P47" s="58" t="str">
        <f>IFERROR(VLOOKUP($A47,[5]실험의뢰_장진영!$A:$M,10,0),"")</f>
        <v>PP (롯데케미칼 J-560S)</v>
      </c>
      <c r="Q47" s="58" t="str">
        <f>IFERROR(VLOOKUP($A47,[5]실험의뢰_장진영!$A:$M,11,0),"")</f>
        <v>기존 MB 5%-&gt;7%로 조정</v>
      </c>
      <c r="R47" s="58">
        <f>IFERROR(VLOOKUP($A47,[5]실험의뢰_장진영!$A:$M,12,0),"")</f>
        <v>0</v>
      </c>
      <c r="S47" s="58">
        <f>IFERROR(VLOOKUP($A47,[5]실험의뢰_장진영!$A:$M,13,0),"")</f>
        <v>0</v>
      </c>
      <c r="T47" s="58"/>
    </row>
    <row r="48" spans="1:20" ht="30" customHeight="1">
      <c r="A48" s="58" t="s">
        <v>251</v>
      </c>
      <c r="B48" s="58" t="str">
        <f>IFERROR(VLOOKUP($A48,[5]실험의뢰_장진영!$A:$M,3,0),"")</f>
        <v>설화수 진설클렌징폼 150ml (25AD 내캡</v>
      </c>
      <c r="C48" s="58" t="str">
        <f>IFERROR(VLOOKUP($A48,[5]실험의뢰_장진영!$A:$M,9,0),"")</f>
        <v>M241245_01</v>
      </c>
      <c r="D48" s="69" t="str">
        <f>IFERROR(VLOOKUP($A48,[5]실험의뢰_장진영!$A:$M,7,0),"")</f>
        <v>SI1539</v>
      </c>
      <c r="E48" s="1">
        <v>45616</v>
      </c>
      <c r="F48" t="s">
        <v>161</v>
      </c>
      <c r="G48" s="1" t="s">
        <v>157</v>
      </c>
      <c r="H48" t="s">
        <v>259</v>
      </c>
      <c r="I48" s="3">
        <v>4</v>
      </c>
      <c r="J48" s="46" t="s">
        <v>169</v>
      </c>
      <c r="K48" s="74">
        <v>1021</v>
      </c>
      <c r="L48" s="46" t="str">
        <f>실험지시[[#This Row],[금형코드]]</f>
        <v>M241245_01</v>
      </c>
      <c r="M48" s="60" t="str">
        <f>IFERROR(VLOOKUP($A48,[5]실험의뢰_장진영!$A:$M,5,0),"")</f>
        <v>각 80</v>
      </c>
      <c r="N48" s="58" t="str">
        <f>IFERROR(VLOOKUP($A48,[5]실험의뢰_장진영!$A:$M,4,0),"")</f>
        <v>색상실험, 기능/후가공 테스트 제출, 향후 표견</v>
      </c>
      <c r="O48" s="59">
        <f>IFERROR(VLOOKUP($A48,[5]실험의뢰_장진영!$A:$M,6,0),"")</f>
        <v>45608</v>
      </c>
      <c r="P48" s="58" t="str">
        <f>IFERROR(VLOOKUP($A48,[5]실험의뢰_장진영!$A:$M,10,0),"")</f>
        <v>PP (롯데케미칼 J-560S)</v>
      </c>
      <c r="Q48" s="58" t="str">
        <f>IFERROR(VLOOKUP($A48,[5]실험의뢰_장진영!$A:$M,11,0),"")</f>
        <v xml:space="preserve">새로운 mb입고된 것으로 색상실험해서 제출해야 합니다. </v>
      </c>
      <c r="R48" s="58">
        <f>IFERROR(VLOOKUP($A48,[5]실험의뢰_장진영!$A:$M,12,0),"")</f>
        <v>0</v>
      </c>
      <c r="S48" s="58" t="str">
        <f>IFERROR(VLOOKUP($A48,[5]실험의뢰_장진영!$A:$M,13,0),"")</f>
        <v xml:space="preserve">색상테스트 진행 시 컨펌된 색상으로 후가공테스트 바로 제출할 수 있도록 각각 수량을 80개씩 사출해 주시면 좋겠습니다. </v>
      </c>
      <c r="T48" s="58"/>
    </row>
    <row r="49" spans="1:20" ht="30" customHeight="1">
      <c r="A49" s="58" t="s">
        <v>253</v>
      </c>
      <c r="B49" s="58" t="str">
        <f>IFERROR(VLOOKUP($A49,[5]실험의뢰_장진영!$A:$M,3,0),"")</f>
        <v>아이오페 슈퍼바이탈 크림 50ML(24EC 내용기</v>
      </c>
      <c r="C49" s="58" t="str">
        <f>IFERROR(VLOOKUP($A49,[5]실험의뢰_장진영!$A:$M,9,0),"")</f>
        <v>M241150_01, M241158_02</v>
      </c>
      <c r="D49" s="69" t="str">
        <f>IFERROR(VLOOKUP($A49,[5]실험의뢰_장진영!$A:$M,7,0),"")</f>
        <v>SI1519</v>
      </c>
      <c r="E49" s="1">
        <v>45621</v>
      </c>
      <c r="F49" t="s">
        <v>254</v>
      </c>
      <c r="G49" s="1" t="s">
        <v>202</v>
      </c>
      <c r="H49" t="s">
        <v>203</v>
      </c>
      <c r="I49" s="3">
        <v>4</v>
      </c>
      <c r="J49" s="46">
        <v>24</v>
      </c>
      <c r="L49" s="46" t="str">
        <f>실험지시[[#This Row],[금형코드]]</f>
        <v>M241150_01, M241158_02</v>
      </c>
      <c r="M49" s="60">
        <f>IFERROR(VLOOKUP($A49,[5]실험의뢰_장진영!$A:$M,5,0),"")</f>
        <v>100</v>
      </c>
      <c r="N49" s="58" t="str">
        <f>IFERROR(VLOOKUP($A49,[5]실험의뢰_장진영!$A:$M,4,0),"")</f>
        <v>2차 내용기 재사출 요청, 완료회의 제출 시료, 기능테스트 제출 필요, 지난번 사출한 것 역시 나사경 0.05작게 사출되었습니다. 개선 요청드립니다.</v>
      </c>
      <c r="O49" s="59">
        <f>IFERROR(VLOOKUP($A49,[5]실험의뢰_장진영!$A:$M,6,0),"")</f>
        <v>45621</v>
      </c>
      <c r="P49" s="58" t="str">
        <f>IFERROR(VLOOKUP($A49,[5]실험의뢰_장진영!$A:$M,10,0),"")</f>
        <v>J560K </v>
      </c>
      <c r="Q49" s="58" t="str">
        <f>IFERROR(VLOOKUP($A49,[5]실험의뢰_장진영!$A:$M,11,0),"")</f>
        <v>SW240613-10</v>
      </c>
      <c r="R49" s="58">
        <f>IFERROR(VLOOKUP($A49,[5]실험의뢰_장진영!$A:$M,12,0),"")</f>
        <v>0</v>
      </c>
      <c r="S49" s="58" t="str">
        <f>IFERROR(VLOOKUP($A49,[5]실험의뢰_장진영!$A:$M,13,0),"")</f>
        <v>슈바 2차 내용기 나사경 기준으로 51.70대가 나오도록 조정해주세요.(지난번 샘플 나사경이 51.64나왔는데 나사내측 0.05키워달라한 후 나사경이 51.78나와서 갈림현상 등 발생했습니다. 그래서 나사경 기준으로 치수 확인하도록 하였습니다)</v>
      </c>
      <c r="T49" s="58"/>
    </row>
    <row r="50" spans="1:20" ht="30" customHeight="1">
      <c r="A50" s="61" t="s">
        <v>255</v>
      </c>
      <c r="B50" s="58" t="str">
        <f>IFERROR(VLOOKUP($A50,[5]실험의뢰_장진영!$A:$M,3,0),"")</f>
        <v>설화수 진설클렌징폼 견본 40ml (25AD 외캡</v>
      </c>
      <c r="C50" s="58" t="str">
        <f>IFERROR(VLOOKUP($A50,[5]실험의뢰_장진영!$A:$M,9,0),"")</f>
        <v>M241286_01</v>
      </c>
      <c r="D50" s="69" t="str">
        <f>IFERROR(VLOOKUP($A50,[5]실험의뢰_장진영!$A:$M,7,0),"")</f>
        <v>SI1554</v>
      </c>
      <c r="E50" s="1">
        <v>45622</v>
      </c>
      <c r="F50" t="s">
        <v>114</v>
      </c>
      <c r="G50" s="1" t="s">
        <v>164</v>
      </c>
      <c r="H50" t="s">
        <v>165</v>
      </c>
      <c r="I50" s="3">
        <v>4</v>
      </c>
      <c r="J50" s="46">
        <v>14</v>
      </c>
      <c r="K50" s="74">
        <v>1108</v>
      </c>
      <c r="L50" s="46" t="str">
        <f>실험지시[[#This Row],[금형코드]]</f>
        <v>M241286_01</v>
      </c>
      <c r="M50" s="60">
        <f>IFERROR(VLOOKUP($A50,[5]실험의뢰_장진영!$A:$M,5,0),"")</f>
        <v>400</v>
      </c>
      <c r="N50" s="58" t="str">
        <f>IFERROR(VLOOKUP($A50,[5]실험의뢰_장진영!$A:$M,4,0),"")</f>
        <v>프리웍스 300ea 납품용, 12월 5일 납품 예정</v>
      </c>
      <c r="O50" s="59">
        <f>IFERROR(VLOOKUP($A50,[5]실험의뢰_장진영!$A:$M,6,0),"")</f>
        <v>45623</v>
      </c>
      <c r="P50" s="58" t="str">
        <f>IFERROR(VLOOKUP($A50,[5]실험의뢰_장진영!$A:$M,10,0),"")</f>
        <v>ABS (롯데첨단소재 SL-0100)</v>
      </c>
      <c r="Q50" s="58" t="str">
        <f>IFERROR(VLOOKUP($A50,[5]실험의뢰_장진영!$A:$M,11,0),"")</f>
        <v>지난 실험에서 4% 컨펌</v>
      </c>
      <c r="R50" s="58">
        <f>IFERROR(VLOOKUP($A50,[5]실험의뢰_장진영!$A:$M,12,0),"")</f>
        <v>0.04</v>
      </c>
      <c r="S50" s="58" t="str">
        <f>IFERROR(VLOOKUP($A50,[5]실험의뢰_장진영!$A:$M,13,0),"")</f>
        <v>가스밴트 수정 후 스크래치 개선 효과 있는지 확인하려 합니다. 찍는 김에 프리웍스 수량 사출하면 어떨까 합니다.</v>
      </c>
      <c r="T50" s="58"/>
    </row>
    <row r="51" spans="1:20" ht="30" customHeight="1">
      <c r="A51" s="58" t="s">
        <v>256</v>
      </c>
      <c r="B51" s="58" t="str">
        <f>IFERROR(VLOOKUP($A51,[5]실험의뢰_장진영!$A:$M,3,0),"")</f>
        <v>설화수 진설클렌징폼 견본 40ml (25AD 외캡</v>
      </c>
      <c r="C51" s="58" t="str">
        <f>IFERROR(VLOOKUP($A51,[5]실험의뢰_장진영!$A:$M,9,0),"")</f>
        <v>M241286_01</v>
      </c>
      <c r="D51" s="69" t="str">
        <f>IFERROR(VLOOKUP($A51,[5]실험의뢰_장진영!$A:$M,7,0),"")</f>
        <v>SI1554</v>
      </c>
      <c r="E51" s="1">
        <v>45624</v>
      </c>
      <c r="F51" t="s">
        <v>74</v>
      </c>
      <c r="G51" s="1" t="s">
        <v>164</v>
      </c>
      <c r="H51" t="s">
        <v>165</v>
      </c>
      <c r="I51" s="3">
        <v>4</v>
      </c>
      <c r="J51" s="46">
        <v>14</v>
      </c>
      <c r="K51" s="74">
        <v>1108</v>
      </c>
      <c r="L51" s="46" t="str">
        <f>실험지시[[#This Row],[금형코드]]</f>
        <v>M241286_01</v>
      </c>
      <c r="M51" s="60">
        <f>IFERROR(VLOOKUP($A51,[5]실험의뢰_장진영!$A:$M,5,0),"")</f>
        <v>100</v>
      </c>
      <c r="N51" s="58" t="str">
        <f>IFERROR(VLOOKUP($A51,[5]실험의뢰_장진영!$A:$M,4,0),"")</f>
        <v>긴급 요청입니다. 장진영님,
50g 외캡 사출 아래 조건 조정하여 긴급으로 진행해주세요. 바로 생산팀에 요청하셔서 진행부탁드립니다.
언더컷 빠질때 부하 받아서 생기는거라면 아래 조건 변경으로 개선 가능해보입니다. 
1. 냉각 타임 줄여서
2,. 온수 온도 올려서
3. ABS 그레이드 LG화학 HF380 로 진행
  (이외 다른 ABS그레이드 있으면 다 찍어봐주세요)</v>
      </c>
      <c r="O51" s="59">
        <f>IFERROR(VLOOKUP($A51,[5]실험의뢰_장진영!$A:$M,6,0),"")</f>
        <v>45624</v>
      </c>
      <c r="P51" s="58" t="str">
        <f>IFERROR(VLOOKUP($A51,[5]실험의뢰_장진영!$A:$M,10,0),"")</f>
        <v xml:space="preserve"> LG화학 HF380 로 진행</v>
      </c>
      <c r="Q51" s="58" t="str">
        <f>IFERROR(VLOOKUP($A51,[5]실험의뢰_장진영!$A:$M,11,0),"")</f>
        <v>지난 실험에서 4% 컨펌</v>
      </c>
      <c r="R51" s="58">
        <f>IFERROR(VLOOKUP($A51,[5]실험의뢰_장진영!$A:$M,12,0),"")</f>
        <v>0</v>
      </c>
      <c r="S51" s="58" t="str">
        <f>IFERROR(VLOOKUP($A51,[5]실험의뢰_장진영!$A:$M,13,0),"")</f>
        <v>내일 바로 찍어서 샘플 전달해달라고 합니다.(수량 원료별 각 100개)</v>
      </c>
      <c r="T51" s="58"/>
    </row>
    <row r="52" spans="1:20" ht="30" customHeight="1">
      <c r="A52" s="58" t="s">
        <v>257</v>
      </c>
      <c r="B52" s="58" t="str">
        <f>IFERROR(VLOOKUP($A52,[5]실험의뢰_장진영!$A:$M,3,0),"")</f>
        <v>라보에이치 모발강화 트리트먼트 300ml 60파이 장식</v>
      </c>
      <c r="C52" s="58" t="str">
        <f>IFERROR(VLOOKUP($A52,[5]실험의뢰_장진영!$A:$M,9,0),"")</f>
        <v>M241335-01</v>
      </c>
      <c r="D52" s="69" t="str">
        <f>IFERROR(VLOOKUP($A52,[5]실험의뢰_장진영!$A:$M,7,0),"")</f>
        <v>SI1560</v>
      </c>
      <c r="E52" s="1">
        <v>45624</v>
      </c>
      <c r="F52" t="s">
        <v>74</v>
      </c>
      <c r="G52" s="1" t="s">
        <v>157</v>
      </c>
      <c r="H52" t="s">
        <v>252</v>
      </c>
      <c r="I52" s="3">
        <v>4</v>
      </c>
      <c r="J52" s="46">
        <v>14</v>
      </c>
      <c r="K52" s="74">
        <v>1108</v>
      </c>
      <c r="L52" s="46" t="str">
        <f>실험지시[[#This Row],[금형코드]]</f>
        <v>M241335-01</v>
      </c>
      <c r="M52" s="60">
        <f>IFERROR(VLOOKUP($A52,[5]실험의뢰_장진영!$A:$M,5,0),"")</f>
        <v>80</v>
      </c>
      <c r="N52" s="58" t="str">
        <f>IFERROR(VLOOKUP($A52,[5]실험의뢰_장진영!$A:$M,4,0),"")</f>
        <v>T2 시사출</v>
      </c>
      <c r="O52" s="59">
        <f>IFERROR(VLOOKUP($A52,[5]실험의뢰_장진영!$A:$M,6,0),"")</f>
        <v>45614</v>
      </c>
      <c r="P52" s="58">
        <f>IFERROR(VLOOKUP($A52,[5]실험의뢰_장진영!$A:$M,10,0),"")</f>
        <v>0</v>
      </c>
      <c r="Q52" s="58">
        <f>IFERROR(VLOOKUP($A52,[5]실험의뢰_장진영!$A:$M,11,0),"")</f>
        <v>0</v>
      </c>
      <c r="R52" s="58">
        <f>IFERROR(VLOOKUP($A52,[5]실험의뢰_장진영!$A:$M,12,0),"")</f>
        <v>0</v>
      </c>
      <c r="S52" s="58">
        <f>IFERROR(VLOOKUP($A52,[5]실험의뢰_장진영!$A:$M,13,0),"")</f>
        <v>0</v>
      </c>
      <c r="T52" s="58"/>
    </row>
    <row r="53" spans="1:20" ht="30" customHeight="1">
      <c r="A53" s="58" t="s">
        <v>258</v>
      </c>
      <c r="B53" s="58" t="str">
        <f>IFERROR(VLOOKUP($A53,[5]실험의뢰_장진영!$A:$M,3,0),"")</f>
        <v>라보에이치 모발강화 트리트먼트 200ml 50파이 장식</v>
      </c>
      <c r="C53" s="58" t="str">
        <f>IFERROR(VLOOKUP($A53,[5]실험의뢰_장진영!$A:$M,9,0),"")</f>
        <v>M241331-01</v>
      </c>
      <c r="D53" s="69" t="str">
        <f>IFERROR(VLOOKUP($A53,[5]실험의뢰_장진영!$A:$M,7,0),"")</f>
        <v>SI1558</v>
      </c>
      <c r="E53" s="1">
        <v>45624</v>
      </c>
      <c r="F53" t="s">
        <v>74</v>
      </c>
      <c r="G53" s="1" t="s">
        <v>157</v>
      </c>
      <c r="H53" t="s">
        <v>252</v>
      </c>
      <c r="I53" s="3">
        <v>4</v>
      </c>
      <c r="J53" s="46">
        <v>14</v>
      </c>
      <c r="L53" s="46" t="str">
        <f>실험지시[[#This Row],[금형코드]]</f>
        <v>M241331-01</v>
      </c>
      <c r="M53" s="60">
        <f>IFERROR(VLOOKUP($A53,[5]실험의뢰_장진영!$A:$M,5,0),"")</f>
        <v>80</v>
      </c>
      <c r="N53" s="58" t="str">
        <f>IFERROR(VLOOKUP($A53,[5]실험의뢰_장진영!$A:$M,4,0),"")</f>
        <v>T2 시사출</v>
      </c>
      <c r="O53" s="59">
        <f>IFERROR(VLOOKUP($A53,[5]실험의뢰_장진영!$A:$M,6,0),"")</f>
        <v>45614</v>
      </c>
      <c r="P53" s="58" t="str">
        <f>IFERROR(VLOOKUP($A53,[5]실험의뢰_장진영!$A:$M,10,0),"")</f>
        <v>PP (롯데케미칼 J-560S)</v>
      </c>
      <c r="Q53" s="58">
        <f>IFERROR(VLOOKUP($A53,[5]실험의뢰_장진영!$A:$M,11,0),"")</f>
        <v>0</v>
      </c>
      <c r="R53" s="58">
        <f>IFERROR(VLOOKUP($A53,[5]실험의뢰_장진영!$A:$M,12,0),"")</f>
        <v>0</v>
      </c>
      <c r="S53" s="58">
        <f>IFERROR(VLOOKUP($A53,[5]실험의뢰_장진영!$A:$M,13,0),"")</f>
        <v>0</v>
      </c>
      <c r="T53" s="58"/>
    </row>
    <row r="54" spans="1:20" ht="30" customHeight="1">
      <c r="A54" s="99" t="s">
        <v>350</v>
      </c>
      <c r="B54" s="58" t="str">
        <f>IFERROR(VLOOKUP($A54,[5]실험의뢰_장진영!$A:$M,3,0),"")</f>
        <v>아이오페 슈퍼바이탈 크림 50ML(24EC 외캡</v>
      </c>
      <c r="C54" s="58" t="str">
        <f>IFERROR(VLOOKUP($A54,[5]실험의뢰_장진영!$A:$M,9,0),"")</f>
        <v>M241148_01, M241156_02</v>
      </c>
      <c r="D54" s="97" t="str">
        <f>IFERROR(VLOOKUP($A54,[5]실험의뢰_장진영!$A:$M,7,0),"")</f>
        <v>SI1589</v>
      </c>
      <c r="E54" s="1">
        <v>45631</v>
      </c>
      <c r="G54" s="1" t="s">
        <v>164</v>
      </c>
      <c r="I54" s="3"/>
      <c r="J54" s="46">
        <v>26</v>
      </c>
      <c r="L54" s="46" t="str">
        <f>실험지시[[#This Row],[금형코드]]</f>
        <v>M241148_01, M241156_02</v>
      </c>
      <c r="M54" s="60">
        <f>IFERROR(VLOOKUP($A54,[5]실험의뢰_장진영!$A:$M,5,0),"")</f>
        <v>200</v>
      </c>
      <c r="N54" s="58" t="str">
        <f>IFERROR(VLOOKUP($A54,[5]실험의뢰_장진영!$A:$M,4,0),"")</f>
        <v>2차 사출 요청, 기능/후가공테스트 진행 예정, 사상/후가공 진행 ABS로 진행</v>
      </c>
      <c r="O54" s="59">
        <f>IFERROR(VLOOKUP($A54,[5]실험의뢰_장진영!$A:$M,6,0),"")</f>
        <v>45625</v>
      </c>
      <c r="P54" s="58" t="str">
        <f>IFERROR(VLOOKUP($A54,[5]실험의뢰_장진영!$A:$M,10,0),"")</f>
        <v>ABS MP-0670</v>
      </c>
      <c r="Q54" s="58">
        <f>IFERROR(VLOOKUP($A54,[5]실험의뢰_장진영!$A:$M,11,0),"")</f>
        <v>0</v>
      </c>
      <c r="R54" s="58">
        <f>IFERROR(VLOOKUP($A54,[5]실험의뢰_장진영!$A:$M,12,0),"")</f>
        <v>0</v>
      </c>
      <c r="S54" s="58">
        <f>IFERROR(VLOOKUP($A54,[5]실험의뢰_장진영!$A:$M,13,0),"")</f>
        <v>0</v>
      </c>
      <c r="T54" s="58"/>
    </row>
    <row r="55" spans="1:20" ht="30" customHeight="1">
      <c r="A55" s="58" t="s">
        <v>344</v>
      </c>
      <c r="B55" s="58" t="str">
        <f>IFERROR(VLOOKUP($A55,[5]실험의뢰_장진영!$A:$M,3,0),"")</f>
        <v>아이오페 슈퍼바이탈 크림 50ML(24EC 외용기</v>
      </c>
      <c r="C55" s="58" t="str">
        <f>IFERROR(VLOOKUP($A55,[5]실험의뢰_장진영!$A:$M,9,0),"")</f>
        <v>M241151_01, M241159_02</v>
      </c>
      <c r="D55" s="98" t="str">
        <f>IFERROR(VLOOKUP($A55,[5]실험의뢰_장진영!$A:$M,7,0),"")</f>
        <v>SI1586</v>
      </c>
      <c r="E55" s="1">
        <v>45629</v>
      </c>
      <c r="F55" t="s">
        <v>74</v>
      </c>
      <c r="G55" s="1" t="s">
        <v>164</v>
      </c>
      <c r="I55" s="3"/>
      <c r="J55" s="46">
        <v>24</v>
      </c>
      <c r="L55" s="46" t="str">
        <f>실험지시[[#This Row],[금형코드]]</f>
        <v>M241151_01, M241159_02</v>
      </c>
      <c r="M55" s="60">
        <f>IFERROR(VLOOKUP($A55,[5]실험의뢰_장진영!$A:$M,5,0),"")</f>
        <v>200</v>
      </c>
      <c r="N55" s="58" t="str">
        <f>IFERROR(VLOOKUP($A55,[5]실험의뢰_장진영!$A:$M,4,0),"")</f>
        <v>2차 사출 요청, 기능/후가공테스트 진행 예정, 사상/후가공 진행 ABS로 진행</v>
      </c>
      <c r="O55" s="59">
        <f>IFERROR(VLOOKUP($A55,[5]실험의뢰_장진영!$A:$M,6,0),"")</f>
        <v>45625</v>
      </c>
      <c r="P55" s="58" t="str">
        <f>IFERROR(VLOOKUP($A55,[5]실험의뢰_장진영!$A:$M,10,0),"")</f>
        <v>ABS MP-0670</v>
      </c>
      <c r="Q55" s="58">
        <f>IFERROR(VLOOKUP($A55,[5]실험의뢰_장진영!$A:$M,11,0),"")</f>
        <v>0</v>
      </c>
      <c r="R55" s="58">
        <f>IFERROR(VLOOKUP($A55,[5]실험의뢰_장진영!$A:$M,12,0),"")</f>
        <v>0</v>
      </c>
      <c r="S55" s="58" t="str">
        <f>IFERROR(VLOOKUP($A55,[5]실험의뢰_장진영!$A:$M,13,0),"")</f>
        <v>재고 있으면 재고 사용 가능</v>
      </c>
      <c r="T55" s="58"/>
    </row>
    <row r="56" spans="1:20" ht="30" customHeight="1">
      <c r="A56" s="58" t="s">
        <v>347</v>
      </c>
      <c r="B56" s="58" t="str">
        <f>IFERROR(VLOOKUP($A56,[5]실험의뢰_장진영!$A:$M,3,0),"")</f>
        <v>아이오페 슈퍼바이탈 크림 50ML(24EC 용기받침</v>
      </c>
      <c r="C56" s="58" t="str">
        <f>IFERROR(VLOOKUP($A56,[5]실험의뢰_장진영!$A:$M,9,0),"")</f>
        <v>M241152_01, M241160_02</v>
      </c>
      <c r="D56" s="69" t="str">
        <f>IFERROR(VLOOKUP($A56,[5]실험의뢰_장진영!$A:$M,7,0),"")</f>
        <v>SI1587</v>
      </c>
      <c r="E56" s="1">
        <v>45629</v>
      </c>
      <c r="F56" t="s">
        <v>114</v>
      </c>
      <c r="G56" s="1" t="s">
        <v>164</v>
      </c>
      <c r="I56" s="3"/>
      <c r="J56" s="46">
        <v>24</v>
      </c>
      <c r="L56" s="46" t="str">
        <f>실험지시[[#This Row],[금형코드]]</f>
        <v>M241152_01, M241160_02</v>
      </c>
      <c r="M56" s="60">
        <f>IFERROR(VLOOKUP($A56,[5]실험의뢰_장진영!$A:$M,5,0),"")</f>
        <v>200</v>
      </c>
      <c r="N56" s="58" t="str">
        <f>IFERROR(VLOOKUP($A56,[5]실험의뢰_장진영!$A:$M,4,0),"")</f>
        <v>2차 사출 요청, 기능/후가공테스트 진행 예정, 사상/후가공 진행 ABS로 진행</v>
      </c>
      <c r="O56" s="59">
        <f>IFERROR(VLOOKUP($A56,[5]실험의뢰_장진영!$A:$M,6,0),"")</f>
        <v>45625</v>
      </c>
      <c r="P56" s="58" t="str">
        <f>IFERROR(VLOOKUP($A56,[5]실험의뢰_장진영!$A:$M,10,0),"")</f>
        <v>ABS MP-0670</v>
      </c>
      <c r="Q56" s="58">
        <f>IFERROR(VLOOKUP($A56,[5]실험의뢰_장진영!$A:$M,11,0),"")</f>
        <v>0</v>
      </c>
      <c r="R56" s="58">
        <f>IFERROR(VLOOKUP($A56,[5]실험의뢰_장진영!$A:$M,12,0),"")</f>
        <v>0</v>
      </c>
      <c r="S56" s="58">
        <f>IFERROR(VLOOKUP($A56,[5]실험의뢰_장진영!$A:$M,13,0),"")</f>
        <v>0</v>
      </c>
      <c r="T56" s="58"/>
    </row>
    <row r="57" spans="1:20" ht="30" customHeight="1">
      <c r="A57" s="99" t="s">
        <v>353</v>
      </c>
      <c r="B57" s="58" t="str">
        <f>IFERROR(VLOOKUP($A57,[5]실험의뢰_장진영!$A:$M,3,0),"")</f>
        <v>아이오페 슈퍼바이탈 크림 50ML(24EC 캡장식</v>
      </c>
      <c r="C57" s="58" t="str">
        <f>IFERROR(VLOOKUP($A57,[5]실험의뢰_장진영!$A:$M,9,0),"")</f>
        <v>M241149_01, M241157_02</v>
      </c>
      <c r="D57" s="69" t="str">
        <f>IFERROR(VLOOKUP($A57,[5]실험의뢰_장진영!$A:$M,7,0),"")</f>
        <v>SI1588</v>
      </c>
      <c r="E57" s="1">
        <v>45629</v>
      </c>
      <c r="F57" t="s">
        <v>161</v>
      </c>
      <c r="G57" s="1" t="s">
        <v>164</v>
      </c>
      <c r="I57" s="3"/>
      <c r="J57" s="46">
        <v>16</v>
      </c>
      <c r="L57" s="46" t="str">
        <f>실험지시[[#This Row],[금형코드]]</f>
        <v>M241149_01, M241157_02</v>
      </c>
      <c r="M57" s="60">
        <f>IFERROR(VLOOKUP($A57,[5]실험의뢰_장진영!$A:$M,5,0),"")</f>
        <v>200</v>
      </c>
      <c r="N57" s="58" t="str">
        <f>IFERROR(VLOOKUP($A57,[5]실험의뢰_장진영!$A:$M,4,0),"")</f>
        <v>2차 사출 요청, 기능/후가공테스트 진행 예정, 사상/후가공 진행 ABS로 진행</v>
      </c>
      <c r="O57" s="59">
        <f>IFERROR(VLOOKUP($A57,[5]실험의뢰_장진영!$A:$M,6,0),"")</f>
        <v>45625</v>
      </c>
      <c r="P57" s="58" t="str">
        <f>IFERROR(VLOOKUP($A57,[5]실험의뢰_장진영!$A:$M,10,0),"")</f>
        <v>ABS MP-0670</v>
      </c>
      <c r="Q57" s="58">
        <f>IFERROR(VLOOKUP($A57,[5]실험의뢰_장진영!$A:$M,11,0),"")</f>
        <v>0</v>
      </c>
      <c r="R57" s="58">
        <f>IFERROR(VLOOKUP($A57,[5]실험의뢰_장진영!$A:$M,12,0),"")</f>
        <v>0</v>
      </c>
      <c r="S57" s="58">
        <f>IFERROR(VLOOKUP($A57,[5]실험의뢰_장진영!$A:$M,13,0),"")</f>
        <v>0</v>
      </c>
      <c r="T57" s="58"/>
    </row>
    <row r="58" spans="1:20" ht="30" customHeight="1">
      <c r="A58" s="58" t="s">
        <v>260</v>
      </c>
      <c r="B58" s="58" t="str">
        <f>IFERROR(VLOOKUP($A58,[5]실험의뢰_장진영!$A:$M,3,0),"")</f>
        <v>7556469    설화수 자음생크림 견 10ml (24AD) 외캡 사출</v>
      </c>
      <c r="C58" s="58">
        <f>IFERROR(VLOOKUP($A58,[5]실험의뢰_장진영!$A:$M,9,0),"")</f>
        <v>0</v>
      </c>
      <c r="D58" s="69" t="str">
        <f>IFERROR(VLOOKUP($A58,[5]실험의뢰_장진영!$A:$M,7,0),"")</f>
        <v>SI1499</v>
      </c>
      <c r="E58" s="1">
        <v>45628</v>
      </c>
      <c r="F58" t="s">
        <v>114</v>
      </c>
      <c r="G58" s="1" t="s">
        <v>261</v>
      </c>
      <c r="I58" s="3"/>
      <c r="J58" s="46">
        <v>17</v>
      </c>
      <c r="L58" s="46">
        <f>실험지시[[#This Row],[금형코드]]</f>
        <v>0</v>
      </c>
      <c r="M58" s="60">
        <f>IFERROR(VLOOKUP($A58,[5]실험의뢰_장진영!$A:$M,5,0),"")</f>
        <v>100</v>
      </c>
      <c r="N58" s="58" t="str">
        <f>IFERROR(VLOOKUP($A58,[5]실험의뢰_장진영!$A:$M,4,0),"")</f>
        <v>PCR ABS (롯데케미칼 GC-0755 50%)로 사출/증착요청, 저가 모델에 pcr적용 가능한지 확인하기 위함이라고 함</v>
      </c>
      <c r="O58" s="59">
        <f>IFERROR(VLOOKUP($A58,[5]실험의뢰_장진영!$A:$M,6,0),"")</f>
        <v>45623</v>
      </c>
      <c r="P58" s="58">
        <f>IFERROR(VLOOKUP($A58,[5]실험의뢰_장진영!$A:$M,10,0),"")</f>
        <v>0</v>
      </c>
      <c r="Q58" s="58">
        <f>IFERROR(VLOOKUP($A58,[5]실험의뢰_장진영!$A:$M,11,0),"")</f>
        <v>0</v>
      </c>
      <c r="R58" s="58">
        <f>IFERROR(VLOOKUP($A58,[5]실험의뢰_장진영!$A:$M,12,0),"")</f>
        <v>0</v>
      </c>
      <c r="S58" s="58" t="str">
        <f>IFERROR(VLOOKUP($A58,[5]실험의뢰_장진영!$A:$M,13,0),"")</f>
        <v>pcr로 했을 때 문제점을 AP래디언스 캡을 가져가서 설명했습니다. 한도처리해서라도 사용가능성 있다고 해서 샘플 진행합니다</v>
      </c>
      <c r="T58" s="58"/>
    </row>
    <row r="59" spans="1:20" ht="30" customHeight="1">
      <c r="A59" s="58" t="s">
        <v>256</v>
      </c>
      <c r="B59" s="58" t="str">
        <f>IFERROR(VLOOKUP($A59,[5]실험의뢰_장진영!$A:$M,3,0),"")</f>
        <v>설화수 진설클렌징폼 견본 40ml (25AD 외캡</v>
      </c>
      <c r="C59" s="58" t="str">
        <f>IFERROR(VLOOKUP($A59,[5]실험의뢰_장진영!$A:$M,9,0),"")</f>
        <v>M241286_01</v>
      </c>
      <c r="D59" s="69" t="str">
        <f>IFERROR(VLOOKUP($A59,[5]실험의뢰_장진영!$A:$M,7,0),"")</f>
        <v>SI1554</v>
      </c>
      <c r="E59" s="1">
        <v>45628</v>
      </c>
      <c r="F59" t="s">
        <v>161</v>
      </c>
      <c r="G59" s="1" t="s">
        <v>262</v>
      </c>
      <c r="I59" s="3"/>
      <c r="J59" s="46">
        <v>14</v>
      </c>
      <c r="K59" s="74">
        <v>1108</v>
      </c>
      <c r="L59" s="46" t="str">
        <f>실험지시[[#This Row],[금형코드]]</f>
        <v>M241286_01</v>
      </c>
      <c r="M59" s="60">
        <f>IFERROR(VLOOKUP($A59,[5]실험의뢰_장진영!$A:$M,5,0),"")</f>
        <v>100</v>
      </c>
      <c r="N59" s="58" t="str">
        <f>IFERROR(VLOOKUP($A59,[5]실험의뢰_장진영!$A:$M,4,0),"")</f>
        <v>긴급 요청입니다. 장진영님,
50g 외캡 사출 아래 조건 조정하여 긴급으로 진행해주세요. 바로 생산팀에 요청하셔서 진행부탁드립니다.
언더컷 빠질때 부하 받아서 생기는거라면 아래 조건 변경으로 개선 가능해보입니다. 
1. 냉각 타임 줄여서
2,. 온수 온도 올려서
3. ABS 그레이드 LG화학 HF380 로 진행
  (이외 다른 ABS그레이드 있으면 다 찍어봐주세요)</v>
      </c>
      <c r="O59" s="59">
        <f>IFERROR(VLOOKUP($A59,[5]실험의뢰_장진영!$A:$M,6,0),"")</f>
        <v>45624</v>
      </c>
      <c r="P59" s="58" t="str">
        <f>IFERROR(VLOOKUP($A59,[5]실험의뢰_장진영!$A:$M,10,0),"")</f>
        <v xml:space="preserve"> LG화학 HF380 로 진행</v>
      </c>
      <c r="Q59" s="58" t="str">
        <f>IFERROR(VLOOKUP($A59,[5]실험의뢰_장진영!$A:$M,11,0),"")</f>
        <v>지난 실험에서 4% 컨펌</v>
      </c>
      <c r="R59" s="58">
        <f>IFERROR(VLOOKUP($A59,[5]실험의뢰_장진영!$A:$M,12,0),"")</f>
        <v>0</v>
      </c>
      <c r="S59" s="58" t="str">
        <f>IFERROR(VLOOKUP($A59,[5]실험의뢰_장진영!$A:$M,13,0),"")</f>
        <v>내일 바로 찍어서 샘플 전달해달라고 합니다.(수량 원료별 각 100개)</v>
      </c>
      <c r="T59" s="58"/>
    </row>
    <row r="60" spans="1:20" ht="30" customHeight="1">
      <c r="A60" s="58" t="s">
        <v>263</v>
      </c>
      <c r="B60" s="58" t="str">
        <f>IFERROR(VLOOKUP($A60,[5]실험의뢰_장진영!$A:$M,3,0),"")</f>
        <v>설화수 진설클렌징폼 150ml (25AD 내캡</v>
      </c>
      <c r="C60" s="58" t="str">
        <f>IFERROR(VLOOKUP($A60,[5]실험의뢰_장진영!$A:$M,9,0),"")</f>
        <v>M241245_01</v>
      </c>
      <c r="D60" s="69" t="str">
        <f>IFERROR(VLOOKUP($A60,[5]실험의뢰_장진영!$A:$M,7,0),"")</f>
        <v>SI1539</v>
      </c>
      <c r="E60" s="1">
        <v>45630</v>
      </c>
      <c r="F60" t="s">
        <v>268</v>
      </c>
      <c r="G60" s="1" t="s">
        <v>157</v>
      </c>
      <c r="H60" t="s">
        <v>259</v>
      </c>
      <c r="I60" s="3">
        <v>4</v>
      </c>
      <c r="J60" s="46">
        <v>14</v>
      </c>
      <c r="K60" s="74">
        <v>1021</v>
      </c>
      <c r="L60" s="46" t="str">
        <f>실험지시[[#This Row],[금형코드]]</f>
        <v>M241245_01</v>
      </c>
      <c r="M60" s="60">
        <f>IFERROR(VLOOKUP($A60,[5]실험의뢰_장진영!$A:$M,5,0),"")</f>
        <v>400</v>
      </c>
      <c r="N60" s="58" t="str">
        <f>IFERROR(VLOOKUP($A60,[5]실험의뢰_장진영!$A:$M,4,0),"")</f>
        <v>프리웍스 300ea 납품용, 12월 5일 납품 예정</v>
      </c>
      <c r="O60" s="59">
        <f>IFERROR(VLOOKUP($A60,[5]실험의뢰_장진영!$A:$M,6,0),"")</f>
        <v>45623</v>
      </c>
      <c r="P60" s="58" t="str">
        <f>IFERROR(VLOOKUP($A60,[5]실험의뢰_장진영!$A:$M,10,0),"")</f>
        <v>PP (롯데케미칼 J-560S)</v>
      </c>
      <c r="Q60" s="58" t="str">
        <f>IFERROR(VLOOKUP($A60,[5]실험의뢰_장진영!$A:$M,11,0),"")</f>
        <v>PP 4%로 컨펌</v>
      </c>
      <c r="R60" s="58">
        <f>IFERROR(VLOOKUP($A60,[5]실험의뢰_장진영!$A:$M,12,0),"")</f>
        <v>0.04</v>
      </c>
      <c r="S60" s="58">
        <f>IFERROR(VLOOKUP($A60,[5]실험의뢰_장진영!$A:$M,13,0),"")</f>
        <v>0</v>
      </c>
      <c r="T60" s="58"/>
    </row>
    <row r="61" spans="1:20" ht="30" customHeight="1">
      <c r="A61" s="58" t="s">
        <v>264</v>
      </c>
      <c r="B61" s="58" t="str">
        <f>IFERROR(VLOOKUP($A61,[5]실험의뢰_장진영!$A:$M,3,0),"")</f>
        <v>설화수 진설클렌징폼 150ml (25AD 외캡</v>
      </c>
      <c r="C61" s="58" t="str">
        <f>IFERROR(VLOOKUP($A61,[5]실험의뢰_장진영!$A:$M,9,0),"")</f>
        <v>M241246_01</v>
      </c>
      <c r="D61" s="69" t="str">
        <f>IFERROR(VLOOKUP($A61,[5]실험의뢰_장진영!$A:$M,7,0),"")</f>
        <v>SI1538</v>
      </c>
      <c r="E61" s="1">
        <v>45630</v>
      </c>
      <c r="F61" t="s">
        <v>268</v>
      </c>
      <c r="G61" t="s">
        <v>75</v>
      </c>
      <c r="H61" t="s">
        <v>76</v>
      </c>
      <c r="I61" s="3">
        <v>4</v>
      </c>
      <c r="J61" s="46">
        <v>14</v>
      </c>
      <c r="L61" s="46" t="str">
        <f>실험지시[[#This Row],[금형코드]]</f>
        <v>M241246_01</v>
      </c>
      <c r="M61" s="60">
        <f>IFERROR(VLOOKUP($A61,[5]실험의뢰_장진영!$A:$M,5,0),"")</f>
        <v>400</v>
      </c>
      <c r="N61" s="58" t="str">
        <f>IFERROR(VLOOKUP($A61,[5]실험의뢰_장진영!$A:$M,4,0),"")</f>
        <v>프리웍스 300ea 납품용, 12월 5일 납품 예정, 코팅일정 고려</v>
      </c>
      <c r="O61" s="59">
        <f>IFERROR(VLOOKUP($A61,[5]실험의뢰_장진영!$A:$M,6,0),"")</f>
        <v>45623</v>
      </c>
      <c r="P61" s="58" t="str">
        <f>IFERROR(VLOOKUP($A61,[5]실험의뢰_장진영!$A:$M,10,0),"")</f>
        <v>PETG (SK케미칼 PN200)</v>
      </c>
      <c r="Q61" s="58">
        <f>IFERROR(VLOOKUP($A61,[5]실험의뢰_장진영!$A:$M,11,0),"")</f>
        <v>0</v>
      </c>
      <c r="R61" s="58">
        <f>IFERROR(VLOOKUP($A61,[5]실험의뢰_장진영!$A:$M,12,0),"")</f>
        <v>0</v>
      </c>
      <c r="S61" s="58">
        <f>IFERROR(VLOOKUP($A61,[5]실험의뢰_장진영!$A:$M,13,0),"")</f>
        <v>0</v>
      </c>
      <c r="T61" s="58"/>
    </row>
    <row r="62" spans="1:20" ht="30" customHeight="1">
      <c r="A62" s="58" t="s">
        <v>265</v>
      </c>
      <c r="B62" s="58" t="str">
        <f>IFERROR(VLOOKUP($A62,[5]실험의뢰_장진영!$A:$M,3,0),"")</f>
        <v>설화수 진설클렌징폼 150ml (25AD 캡장식</v>
      </c>
      <c r="C62" s="58" t="str">
        <f>IFERROR(VLOOKUP($A62,[5]실험의뢰_장진영!$A:$M,9,0),"")</f>
        <v>M241247_01</v>
      </c>
      <c r="D62" s="69" t="str">
        <f>IFERROR(VLOOKUP($A62,[5]실험의뢰_장진영!$A:$M,7,0),"")</f>
        <v>SI1537</v>
      </c>
      <c r="E62" s="1">
        <v>45630</v>
      </c>
      <c r="F62" t="s">
        <v>268</v>
      </c>
      <c r="G62" s="1" t="s">
        <v>164</v>
      </c>
      <c r="I62" s="3"/>
      <c r="J62" s="46">
        <v>8</v>
      </c>
      <c r="L62" s="46" t="str">
        <f>실험지시[[#This Row],[금형코드]]</f>
        <v>M241247_01</v>
      </c>
      <c r="M62" s="60">
        <f>IFERROR(VLOOKUP($A62,[5]실험의뢰_장진영!$A:$M,5,0),"")</f>
        <v>400</v>
      </c>
      <c r="N62" s="58" t="str">
        <f>IFERROR(VLOOKUP($A62,[5]실험의뢰_장진영!$A:$M,4,0),"")</f>
        <v>프리웍스 300ea 납품용, 12월 5일 납품 예정, 증착일정 고려</v>
      </c>
      <c r="O62" s="59">
        <f>IFERROR(VLOOKUP($A62,[5]실험의뢰_장진영!$A:$M,6,0),"")</f>
        <v>45623</v>
      </c>
      <c r="P62" s="58" t="str">
        <f>IFERROR(VLOOKUP($A62,[5]실험의뢰_장진영!$A:$M,10,0),"")</f>
        <v>ABS (롯데첨단소재 MP-0670)</v>
      </c>
      <c r="Q62" s="58">
        <f>IFERROR(VLOOKUP($A62,[5]실험의뢰_장진영!$A:$M,11,0),"")</f>
        <v>0</v>
      </c>
      <c r="R62" s="58">
        <f>IFERROR(VLOOKUP($A62,[5]실험의뢰_장진영!$A:$M,12,0),"")</f>
        <v>0</v>
      </c>
      <c r="S62" s="58">
        <f>IFERROR(VLOOKUP($A62,[5]실험의뢰_장진영!$A:$M,13,0),"")</f>
        <v>0</v>
      </c>
      <c r="T62" s="58"/>
    </row>
    <row r="63" spans="1:20" ht="30" customHeight="1">
      <c r="A63" s="58" t="s">
        <v>266</v>
      </c>
      <c r="B63" s="58" t="str">
        <f>IFERROR(VLOOKUP($A63,[5]실험의뢰_장진영!$A:$M,3,0),"")</f>
        <v>설화수 진설클렌징폼 견본 40ml (25AD 내캡</v>
      </c>
      <c r="C63" s="58" t="str">
        <f>IFERROR(VLOOKUP($A63,[5]실험의뢰_장진영!$A:$M,9,0),"")</f>
        <v>M241285_01</v>
      </c>
      <c r="D63" s="69" t="str">
        <f>IFERROR(VLOOKUP($A63,[5]실험의뢰_장진영!$A:$M,7,0),"")</f>
        <v>SI1553</v>
      </c>
      <c r="E63" s="1">
        <v>45630</v>
      </c>
      <c r="F63" t="s">
        <v>74</v>
      </c>
      <c r="G63" s="1" t="s">
        <v>157</v>
      </c>
      <c r="H63" t="s">
        <v>259</v>
      </c>
      <c r="I63" s="3">
        <v>4</v>
      </c>
      <c r="J63" s="46">
        <v>14</v>
      </c>
      <c r="K63" s="74">
        <v>1012</v>
      </c>
      <c r="L63" s="46" t="str">
        <f>실험지시[[#This Row],[금형코드]]</f>
        <v>M241285_01</v>
      </c>
      <c r="M63" s="60">
        <f>IFERROR(VLOOKUP($A63,[5]실험의뢰_장진영!$A:$M,5,0),"")</f>
        <v>400</v>
      </c>
      <c r="N63" s="58" t="str">
        <f>IFERROR(VLOOKUP($A63,[5]실험의뢰_장진영!$A:$M,4,0),"")</f>
        <v>프리웍스 300ea 납품용, 12월 5일 납품 예정, 박 일정 고려</v>
      </c>
      <c r="O63" s="59">
        <f>IFERROR(VLOOKUP($A63,[5]실험의뢰_장진영!$A:$M,6,0),"")</f>
        <v>45623</v>
      </c>
      <c r="P63" s="58" t="str">
        <f>IFERROR(VLOOKUP($A63,[5]실험의뢰_장진영!$A:$M,10,0),"")</f>
        <v>PP (롯데케미칼 J-560S)</v>
      </c>
      <c r="Q63" s="58" t="str">
        <f>IFERROR(VLOOKUP($A63,[5]실험의뢰_장진영!$A:$M,11,0),"")</f>
        <v>PP 4%로 컨펌</v>
      </c>
      <c r="R63" s="58">
        <f>IFERROR(VLOOKUP($A63,[5]실험의뢰_장진영!$A:$M,12,0),"")</f>
        <v>0.04</v>
      </c>
      <c r="S63" s="58">
        <f>IFERROR(VLOOKUP($A63,[5]실험의뢰_장진영!$A:$M,13,0),"")</f>
        <v>0</v>
      </c>
      <c r="T63" s="58"/>
    </row>
    <row r="64" spans="1:20" ht="30" customHeight="1">
      <c r="A64" s="58" t="s">
        <v>267</v>
      </c>
      <c r="B64" s="58" t="str">
        <f>IFERROR(VLOOKUP($A64,[5]실험의뢰_장진영!$A:$M,3,0),"")</f>
        <v>아이오페 스템Ⅲ 클리니컬 리커버리 크림 50ML(25) 캡장식 사출</v>
      </c>
      <c r="C64" s="58" t="str">
        <f>IFERROR(VLOOKUP($A64,[5]실험의뢰_장진영!$A:$M,9,0),"")</f>
        <v>M241344_01</v>
      </c>
      <c r="D64" s="69" t="str">
        <f>IFERROR(VLOOKUP($A64,[5]실험의뢰_장진영!$A:$M,7,0),"")</f>
        <v>SI1540</v>
      </c>
      <c r="E64" s="1">
        <v>45635</v>
      </c>
      <c r="F64" t="s">
        <v>74</v>
      </c>
      <c r="G64" t="s">
        <v>75</v>
      </c>
      <c r="I64" s="3"/>
      <c r="J64" s="46">
        <v>16</v>
      </c>
      <c r="K64" s="74">
        <v>1118</v>
      </c>
      <c r="L64" s="46" t="str">
        <f>실험지시[[#This Row],[금형코드]]</f>
        <v>M241344_01</v>
      </c>
      <c r="M64" s="60">
        <f>IFERROR(VLOOKUP($A64,[5]실험의뢰_장진영!$A:$M,5,0),"")</f>
        <v>100</v>
      </c>
      <c r="N64" s="58" t="str">
        <f>IFERROR(VLOOKUP($A64,[5]실험의뢰_장진영!$A:$M,4,0),"")</f>
        <v>T4 시사출, 수정사항 확인 조립방식 변경(금형 12월 3일 입고)</v>
      </c>
      <c r="O64" s="59">
        <f>IFERROR(VLOOKUP($A64,[5]실험의뢰_장진영!$A:$M,6,0),"")</f>
        <v>45636</v>
      </c>
      <c r="P64" s="58" t="str">
        <f>IFERROR(VLOOKUP($A64,[5]실험의뢰_장진영!$A:$M,10,0),"")</f>
        <v>PETG (SK케미칼 PN200)</v>
      </c>
      <c r="Q64" s="58" t="str">
        <f>IFERROR(VLOOKUP($A64,[5]실험의뢰_장진영!$A:$M,11,0),"")</f>
        <v>증착사양</v>
      </c>
      <c r="R64" s="58">
        <f>IFERROR(VLOOKUP($A64,[5]실험의뢰_장진영!$A:$M,12,0),"")</f>
        <v>0</v>
      </c>
      <c r="S64" s="58" t="str">
        <f>IFERROR(VLOOKUP($A64,[5]실험의뢰_장진영!$A:$M,13,0),"")</f>
        <v>늦어도 11일에 샘플 회의 할 수 있도록 부탁드립니다.</v>
      </c>
      <c r="T64" s="58"/>
    </row>
    <row r="65" spans="1:20" ht="30" customHeight="1">
      <c r="A65" s="61" t="s">
        <v>269</v>
      </c>
      <c r="B65" s="58" t="str">
        <f>IFERROR(VLOOKUP($A65,[5]실험의뢰_장진영!$A:$M,3,0),"")</f>
        <v>아이오페 스템Ⅲ 클리니컬 리커버리 크림 50ML(25) 외캡 사출</v>
      </c>
      <c r="C65" s="58" t="str">
        <f>IFERROR(VLOOKUP($A65,[5]실험의뢰_장진영!$A:$M,9,0),"")</f>
        <v>M241342_01</v>
      </c>
      <c r="D65" s="69" t="str">
        <f>IFERROR(VLOOKUP($A65,[5]실험의뢰_장진영!$A:$M,7,0),"")</f>
        <v>SI1541</v>
      </c>
      <c r="E65" s="1">
        <v>45635</v>
      </c>
      <c r="F65" t="s">
        <v>74</v>
      </c>
      <c r="G65" t="s">
        <v>75</v>
      </c>
      <c r="I65" s="3"/>
      <c r="J65" s="46">
        <v>16</v>
      </c>
      <c r="K65" s="74">
        <v>1118</v>
      </c>
      <c r="L65" s="46" t="str">
        <f>실험지시[[#This Row],[금형코드]]</f>
        <v>M241342_01</v>
      </c>
      <c r="M65" s="60">
        <f>IFERROR(VLOOKUP($A65,[5]실험의뢰_장진영!$A:$M,5,0),"")</f>
        <v>100</v>
      </c>
      <c r="N65" s="58" t="str">
        <f>IFERROR(VLOOKUP($A65,[5]실험의뢰_장진영!$A:$M,4,0),"")</f>
        <v>T4 시사출, 수정사항 확인 조립방식 변경(금형 12월 5일 입고 예정)</v>
      </c>
      <c r="O65" s="59">
        <f>IFERROR(VLOOKUP($A65,[5]실험의뢰_장진영!$A:$M,6,0),"")</f>
        <v>45636</v>
      </c>
      <c r="P65" s="58" t="str">
        <f>IFERROR(VLOOKUP($A65,[5]실험의뢰_장진영!$A:$M,10,0),"")</f>
        <v>PETG (SK케미칼 PN200)</v>
      </c>
      <c r="Q65" s="58" t="str">
        <f>IFERROR(VLOOKUP($A65,[5]실험의뢰_장진영!$A:$M,11,0),"")</f>
        <v>투명</v>
      </c>
      <c r="R65" s="58">
        <f>IFERROR(VLOOKUP($A65,[5]실험의뢰_장진영!$A:$M,12,0),"")</f>
        <v>0</v>
      </c>
      <c r="S65" s="58">
        <f>IFERROR(VLOOKUP($A65,[5]실험의뢰_장진영!$A:$M,13,0),"")</f>
        <v>0</v>
      </c>
      <c r="T65" s="58"/>
    </row>
    <row r="66" spans="1:20" ht="30" customHeight="1">
      <c r="A66" s="58" t="s">
        <v>277</v>
      </c>
      <c r="B66" s="58" t="str">
        <f>IFERROR(VLOOKUP($A66,[5]실험의뢰_장진영!$A:$M,3,0),"")</f>
        <v>7493354 설화수 에센셜 퍼 탄력영양크림 75ML 내캡</v>
      </c>
      <c r="C66" s="58" t="str">
        <f>IFERROR(VLOOKUP($A66,[5]실험의뢰_장진영!$A:$M,9,0),"")</f>
        <v>M211167</v>
      </c>
      <c r="D66" s="69" t="str">
        <f>IFERROR(VLOOKUP($A66,[5]실험의뢰_장진영!$A:$M,7,0),"")</f>
        <v>SI1568</v>
      </c>
      <c r="E66" s="1">
        <v>45643</v>
      </c>
      <c r="I66" s="3"/>
      <c r="J66" s="46">
        <v>9</v>
      </c>
      <c r="L66" s="46" t="str">
        <f>실험지시[[#This Row],[금형코드]]</f>
        <v>M211167</v>
      </c>
      <c r="M66" s="60">
        <f>IFERROR(VLOOKUP($A66,[5]실험의뢰_장진영!$A:$M,5,0),"")</f>
        <v>80</v>
      </c>
      <c r="N66" s="58" t="str">
        <f>IFERROR(VLOOKUP($A66,[5]실험의뢰_장진영!$A:$M,4,0),"")</f>
        <v>신제품 위한 색상 테스트, 타겟에 맞게 %별 사출 요청(타겟있음) %별로 80개</v>
      </c>
      <c r="O66" s="59">
        <f>IFERROR(VLOOKUP($A66,[5]실험의뢰_장진영!$A:$M,6,0),"")</f>
        <v>45637</v>
      </c>
      <c r="P66" s="58">
        <f>IFERROR(VLOOKUP($A66,[5]실험의뢰_장진영!$A:$M,10,0),"")</f>
        <v>0</v>
      </c>
      <c r="Q66" s="58" t="str">
        <f>IFERROR(VLOOKUP($A66,[5]실험의뢰_장진영!$A:$M,11,0),"")</f>
        <v>24-1122-6</v>
      </c>
      <c r="R66" s="58">
        <f>IFERROR(VLOOKUP($A66,[5]실험의뢰_장진영!$A:$M,12,0),"")</f>
        <v>0.05</v>
      </c>
      <c r="S66" s="58">
        <f>IFERROR(VLOOKUP($A66,[5]실험의뢰_장진영!$A:$M,13,0),"")</f>
        <v>0</v>
      </c>
      <c r="T66" s="58"/>
    </row>
    <row r="67" spans="1:20" ht="30" customHeight="1">
      <c r="A67" s="58" t="s">
        <v>270</v>
      </c>
      <c r="B67" s="58" t="str">
        <f>IFERROR(VLOOKUP($A67,[5]실험의뢰_장진영!$A:$M,3,0),"")</f>
        <v>7493354 설화수 에센셜 퍼 탄력영양크림 75ML 외캡</v>
      </c>
      <c r="C67" s="58" t="str">
        <f>IFERROR(VLOOKUP($A67,[5]실험의뢰_장진영!$A:$M,9,0),"")</f>
        <v>M211168</v>
      </c>
      <c r="D67" s="69" t="str">
        <f>IFERROR(VLOOKUP($A67,[5]실험의뢰_장진영!$A:$M,7,0),"")</f>
        <v>SI1352</v>
      </c>
      <c r="E67" s="1"/>
      <c r="I67" s="3"/>
      <c r="L67" s="46" t="str">
        <f>실험지시[[#This Row],[금형코드]]</f>
        <v>M211168</v>
      </c>
      <c r="M67" s="60">
        <f>IFERROR(VLOOKUP($A67,[5]실험의뢰_장진영!$A:$M,5,0),"")</f>
        <v>150</v>
      </c>
      <c r="N67" s="58" t="str">
        <f>IFERROR(VLOOKUP($A67,[5]실험의뢰_장진영!$A:$M,4,0),"")</f>
        <v>증착색상 변경, 기존 네츄럴 재고 있으며 대체 가능</v>
      </c>
      <c r="O67" s="59">
        <f>IFERROR(VLOOKUP($A67,[5]실험의뢰_장진영!$A:$M,6,0),"")</f>
        <v>45637</v>
      </c>
      <c r="P67" s="58">
        <f>IFERROR(VLOOKUP($A67,[5]실험의뢰_장진영!$A:$M,10,0),"")</f>
        <v>0</v>
      </c>
      <c r="Q67" s="58">
        <f>IFERROR(VLOOKUP($A67,[5]실험의뢰_장진영!$A:$M,11,0),"")</f>
        <v>0</v>
      </c>
      <c r="R67" s="58">
        <f>IFERROR(VLOOKUP($A67,[5]실험의뢰_장진영!$A:$M,12,0),"")</f>
        <v>0</v>
      </c>
      <c r="S67" s="58">
        <f>IFERROR(VLOOKUP($A67,[5]실험의뢰_장진영!$A:$M,13,0),"")</f>
        <v>0</v>
      </c>
      <c r="T67" s="58"/>
    </row>
    <row r="68" spans="1:20" ht="30" customHeight="1">
      <c r="A68" s="58" t="s">
        <v>271</v>
      </c>
      <c r="B68" s="58" t="str">
        <f>IFERROR(VLOOKUP($A68,[5]실험의뢰_장진영!$A:$M,3,0),"")</f>
        <v>설화수 자음수 35ML 캡</v>
      </c>
      <c r="C68" s="58" t="str">
        <f>IFERROR(VLOOKUP($A68,[5]실험의뢰_장진영!$A:$M,9,0),"")</f>
        <v>M201128</v>
      </c>
      <c r="D68" s="69" t="str">
        <f>IFERROR(VLOOKUP($A68,[5]실험의뢰_장진영!$A:$M,7,0),"")</f>
        <v>SI1524</v>
      </c>
      <c r="E68" s="1">
        <v>45632</v>
      </c>
      <c r="G68" s="1" t="s">
        <v>157</v>
      </c>
      <c r="H68" t="s">
        <v>272</v>
      </c>
      <c r="I68" s="3" t="s">
        <v>273</v>
      </c>
      <c r="J68" s="46">
        <v>32</v>
      </c>
      <c r="L68" s="46" t="str">
        <f>실험지시[[#This Row],[금형코드]]</f>
        <v>M201128</v>
      </c>
      <c r="M68" s="60">
        <f>IFERROR(VLOOKUP($A68,[5]실험의뢰_장진영!$A:$M,5,0),"")</f>
        <v>100</v>
      </c>
      <c r="N68" s="58" t="str">
        <f>IFERROR(VLOOKUP($A68,[5]실험의뢰_장진영!$A:$M,4,0),"")</f>
        <v>신제품 위한 색상 테스트, 타겟에 맞게 %별 사출 요청(타겟있음) %별로 100개</v>
      </c>
      <c r="O68" s="59">
        <f>IFERROR(VLOOKUP($A68,[5]실험의뢰_장진영!$A:$M,6,0),"")</f>
        <v>45638</v>
      </c>
      <c r="P68" s="58">
        <f>IFERROR(VLOOKUP($A68,[5]실험의뢰_장진영!$A:$M,10,0),"")</f>
        <v>0</v>
      </c>
      <c r="Q68" s="58" t="str">
        <f>IFERROR(VLOOKUP($A68,[5]실험의뢰_장진영!$A:$M,11,0),"")</f>
        <v>24-1122-7</v>
      </c>
      <c r="R68" s="58">
        <f>IFERROR(VLOOKUP($A68,[5]실험의뢰_장진영!$A:$M,12,0),"")</f>
        <v>0.05</v>
      </c>
      <c r="S68" s="58">
        <f>IFERROR(VLOOKUP($A68,[5]실험의뢰_장진영!$A:$M,13,0),"")</f>
        <v>0</v>
      </c>
      <c r="T68" s="58"/>
    </row>
    <row r="69" spans="1:20" ht="30" customHeight="1">
      <c r="A69" s="58" t="s">
        <v>274</v>
      </c>
      <c r="B69" s="58" t="str">
        <f>IFERROR(VLOOKUP($A69,[5]실험의뢰_장진영!$A:$M,3,0),"")</f>
        <v>아이오페 스템Ⅲ 클리니컬 리커버리 크림 50ML(25) 내캡 사출</v>
      </c>
      <c r="C69" s="58" t="str">
        <f>IFERROR(VLOOKUP($A69,[5]실험의뢰_장진영!$A:$M,9,0),"")</f>
        <v>M241343_01</v>
      </c>
      <c r="D69" s="69" t="str">
        <f>IFERROR(VLOOKUP($A69,[5]실험의뢰_장진영!$A:$M,7,0),"")</f>
        <v>SI1542</v>
      </c>
      <c r="E69" s="1">
        <v>45637</v>
      </c>
      <c r="F69" t="s">
        <v>161</v>
      </c>
      <c r="G69" s="1" t="s">
        <v>157</v>
      </c>
      <c r="H69" t="s">
        <v>147</v>
      </c>
      <c r="I69" s="3">
        <v>4</v>
      </c>
      <c r="J69" s="46" t="s">
        <v>169</v>
      </c>
      <c r="K69" s="74">
        <v>1203</v>
      </c>
      <c r="L69" s="46" t="str">
        <f>실험지시[[#This Row],[금형코드]]</f>
        <v>M241343_01</v>
      </c>
      <c r="M69" s="60">
        <f>IFERROR(VLOOKUP($A69,[5]실험의뢰_장진영!$A:$M,5,0),"")</f>
        <v>100</v>
      </c>
      <c r="N69" s="58" t="str">
        <f>IFERROR(VLOOKUP($A69,[5]실험의뢰_장진영!$A:$M,4,0),"")</f>
        <v>T4 시사출, 수정사항 확인 조립방식 변경(금형 12월 9일 입고 예정)</v>
      </c>
      <c r="O69" s="59">
        <f>IFERROR(VLOOKUP($A69,[5]실험의뢰_장진영!$A:$M,6,0),"")</f>
        <v>45636</v>
      </c>
      <c r="P69" s="58" t="str">
        <f>IFERROR(VLOOKUP($A69,[5]실험의뢰_장진영!$A:$M,10,0),"")</f>
        <v>PP (롯데케미칼 J-560S)</v>
      </c>
      <c r="Q69" s="58">
        <f>IFERROR(VLOOKUP($A69,[5]실험의뢰_장진영!$A:$M,11,0),"")</f>
        <v>0</v>
      </c>
      <c r="R69" s="58">
        <f>IFERROR(VLOOKUP($A69,[5]실험의뢰_장진영!$A:$M,12,0),"")</f>
        <v>0</v>
      </c>
      <c r="S69" s="58" t="str">
        <f>IFERROR(VLOOKUP($A69,[5]실험의뢰_장진영!$A:$M,13,0),"")</f>
        <v xml:space="preserve">12월 5일 완료 예정일인데 조립방식 변경으로 지연입니다. 최대한 우선 사출해주세요. </v>
      </c>
      <c r="T69" s="58"/>
    </row>
    <row r="70" spans="1:20" ht="30" customHeight="1">
      <c r="A70" s="58" t="s">
        <v>275</v>
      </c>
      <c r="B70" s="58" t="str">
        <f>IFERROR(VLOOKUP($A70,[5]실험의뢰_장진영!$A:$M,3,0),"")</f>
        <v>아이오페 스템Ⅲ 클리니컬 리커버리 크림 50ML(25) 캡장식 사출</v>
      </c>
      <c r="C70" s="58" t="str">
        <f>IFERROR(VLOOKUP($A70,[5]실험의뢰_장진영!$A:$M,9,0),"")</f>
        <v>M241344_01</v>
      </c>
      <c r="D70" s="69" t="str">
        <f>IFERROR(VLOOKUP($A70,[5]실험의뢰_장진영!$A:$M,7,0),"")</f>
        <v>SI1540</v>
      </c>
      <c r="E70" s="1">
        <v>45637</v>
      </c>
      <c r="F70" t="s">
        <v>74</v>
      </c>
      <c r="G70" t="s">
        <v>75</v>
      </c>
      <c r="I70" s="3"/>
      <c r="J70" s="46">
        <v>16</v>
      </c>
      <c r="K70" s="74">
        <v>1118</v>
      </c>
      <c r="L70" s="46" t="str">
        <f>실험지시[[#This Row],[금형코드]]</f>
        <v>M241344_01</v>
      </c>
      <c r="M70" s="60">
        <f>IFERROR(VLOOKUP($A70,[5]실험의뢰_장진영!$A:$M,5,0),"")</f>
        <v>100</v>
      </c>
      <c r="N70" s="58" t="str">
        <f>IFERROR(VLOOKUP($A70,[5]실험의뢰_장진영!$A:$M,4,0),"")</f>
        <v>10일 논의 된 대로 양산 가능 사출조건으로 사출 해주세요</v>
      </c>
      <c r="O70" s="59">
        <f>IFERROR(VLOOKUP($A70,[5]실험의뢰_장진영!$A:$M,6,0),"")</f>
        <v>45637</v>
      </c>
      <c r="P70" s="58" t="str">
        <f>IFERROR(VLOOKUP($A70,[5]실험의뢰_장진영!$A:$M,10,0),"")</f>
        <v>PETG (SK케미칼 PN200)</v>
      </c>
      <c r="Q70" s="58" t="str">
        <f>IFERROR(VLOOKUP($A70,[5]실험의뢰_장진영!$A:$M,11,0),"")</f>
        <v>증착사양</v>
      </c>
      <c r="R70" s="58">
        <f>IFERROR(VLOOKUP($A70,[5]실험의뢰_장진영!$A:$M,12,0),"")</f>
        <v>0</v>
      </c>
      <c r="S70" s="58">
        <f>IFERROR(VLOOKUP($A70,[5]실험의뢰_장진영!$A:$M,13,0),"")</f>
        <v>0</v>
      </c>
      <c r="T70" s="58"/>
    </row>
    <row r="71" spans="1:20" ht="30" customHeight="1">
      <c r="A71" s="58" t="s">
        <v>278</v>
      </c>
      <c r="B71" s="58" t="str">
        <f>IFERROR(VLOOKUP($A71,[5]실험의뢰_장진영!$A:$M,3,0),"")</f>
        <v>v=b 16cavity 콜드금형</v>
      </c>
      <c r="C71" s="58" t="str">
        <f>IFERROR(VLOOKUP($A71,[5]실험의뢰_장진영!$A:$M,9,0),"")</f>
        <v/>
      </c>
      <c r="D71" s="69" t="str">
        <f>IFERROR(VLOOKUP($A71,[5]실험의뢰_장진영!$A:$M,7,0),"")</f>
        <v>SI1569</v>
      </c>
      <c r="E71" s="1">
        <v>45637</v>
      </c>
      <c r="G71" s="1" t="s">
        <v>276</v>
      </c>
      <c r="I71" s="3"/>
      <c r="J71" s="46" t="s">
        <v>169</v>
      </c>
      <c r="L71" s="46" t="str">
        <f>실험지시[[#This Row],[금형코드]]</f>
        <v/>
      </c>
      <c r="M71" s="60">
        <f>IFERROR(VLOOKUP($A71,[5]실험의뢰_장진영!$A:$M,5,0),"")</f>
        <v>80</v>
      </c>
      <c r="N71" s="58" t="str">
        <f>IFERROR(VLOOKUP($A71,[5]실험의뢰_장진영!$A:$M,4,0),"")</f>
        <v>신제품 라네즈 유스 콜라겐 색상실험. 타겟에 맞게 %별 사출 요청(타겟있음) %별로 80개</v>
      </c>
      <c r="O71" s="59">
        <f>IFERROR(VLOOKUP($A71,[5]실험의뢰_장진영!$A:$M,6,0),"")</f>
        <v>45635</v>
      </c>
      <c r="P71" s="58">
        <f>IFERROR(VLOOKUP($A71,[5]실험의뢰_장진영!$A:$M,10,0),"")</f>
        <v>0</v>
      </c>
      <c r="Q71" s="58" t="str">
        <f>IFERROR(VLOOKUP($A71,[5]실험의뢰_장진영!$A:$M,11,0),"")</f>
        <v>241202-5(동진)</v>
      </c>
      <c r="R71" s="58">
        <f>IFERROR(VLOOKUP($A71,[5]실험의뢰_장진영!$A:$M,12,0),"")</f>
        <v>0</v>
      </c>
      <c r="S71" s="58">
        <f>IFERROR(VLOOKUP($A71,[5]실험의뢰_장진영!$A:$M,13,0),"")</f>
        <v>0</v>
      </c>
      <c r="T71" s="58"/>
    </row>
    <row r="72" spans="1:20" ht="30" customHeight="1">
      <c r="A72" s="58" t="s">
        <v>279</v>
      </c>
      <c r="B72" s="58" t="str">
        <f>IFERROR(VLOOKUP($A72,[5]실험의뢰_장진영!$A:$M,3,0),"")</f>
        <v>아모레모듈25ML 단캡</v>
      </c>
      <c r="C72" s="58" t="str">
        <f>IFERROR(VLOOKUP($A72,[5]실험의뢰_장진영!$A:$M,9,0),"")</f>
        <v>M241061_02</v>
      </c>
      <c r="D72" s="69" t="str">
        <f>IFERROR(VLOOKUP($A72,[5]실험의뢰_장진영!$A:$M,7,0),"")</f>
        <v>SI1400</v>
      </c>
      <c r="E72" s="1">
        <v>45638</v>
      </c>
      <c r="F72" t="s">
        <v>280</v>
      </c>
      <c r="G72" s="1" t="s">
        <v>157</v>
      </c>
      <c r="H72" t="s">
        <v>281</v>
      </c>
      <c r="I72" s="3">
        <v>4</v>
      </c>
      <c r="L72" s="46" t="str">
        <f>실험지시[[#This Row],[금형코드]]</f>
        <v>M241061_02</v>
      </c>
      <c r="M72" s="60">
        <f>IFERROR(VLOOKUP($A72,[5]실험의뢰_장진영!$A:$M,5,0),"")</f>
        <v>100</v>
      </c>
      <c r="N72" s="58" t="str">
        <f>IFERROR(VLOOKUP($A72,[5]실험의뢰_장진영!$A:$M,4,0),"")</f>
        <v>라네즈견본25ML를 마몽드맨 견본으로 사용하기 위해 색상변경, 색상실험입니다. 금주 13일 전달해야 해서 12일 사출 요청드립니다.</v>
      </c>
      <c r="O72" s="59">
        <f>IFERROR(VLOOKUP($A72,[5]실험의뢰_장진영!$A:$M,6,0),"")</f>
        <v>45638</v>
      </c>
      <c r="P72" s="58">
        <f>IFERROR(VLOOKUP($A72,[5]실험의뢰_장진영!$A:$M,10,0),"")</f>
        <v>0</v>
      </c>
      <c r="Q72" s="58" t="str">
        <f>IFERROR(VLOOKUP($A72,[5]실험의뢰_장진영!$A:$M,11,0),"")</f>
        <v>24-1031-7</v>
      </c>
      <c r="R72" s="58">
        <f>IFERROR(VLOOKUP($A72,[5]실험의뢰_장진영!$A:$M,12,0),"")</f>
        <v>0</v>
      </c>
      <c r="S72" s="58" t="str">
        <f>IFERROR(VLOOKUP($A72,[5]실험의뢰_장진영!$A:$M,13,0),"")</f>
        <v>프레스티지팀 사항입니다. 13일 제출할 수 있도록 부탁드립니다.</v>
      </c>
      <c r="T72" s="58"/>
    </row>
    <row r="73" spans="1:20" ht="30" customHeight="1">
      <c r="A73" s="58" t="s">
        <v>282</v>
      </c>
      <c r="B73" s="58" t="str">
        <f>IFERROR(VLOOKUP($A73,[5]실험의뢰_장진영!$A:$M,3,0),"")</f>
        <v>설화수 진설클렌징폼 150ml (25AD 캡장식</v>
      </c>
      <c r="C73" s="58" t="str">
        <f>IFERROR(VLOOKUP($A73,[5]실험의뢰_장진영!$A:$M,9,0),"")</f>
        <v>M241247_01</v>
      </c>
      <c r="D73" s="69" t="str">
        <f>IFERROR(VLOOKUP($A73,[5]실험의뢰_장진영!$A:$M,7,0),"")</f>
        <v>SI1537</v>
      </c>
      <c r="E73" s="1">
        <v>45642</v>
      </c>
      <c r="F73" t="s">
        <v>74</v>
      </c>
      <c r="G73" s="1" t="s">
        <v>164</v>
      </c>
      <c r="I73" s="3"/>
      <c r="J73" s="46">
        <v>9</v>
      </c>
      <c r="L73" s="46" t="str">
        <f>실험지시[[#This Row],[금형코드]]</f>
        <v>M241247_01</v>
      </c>
      <c r="M73" s="60">
        <f>IFERROR(VLOOKUP($A73,[5]실험의뢰_장진영!$A:$M,5,0),"")</f>
        <v>100</v>
      </c>
      <c r="N73" s="58" t="str">
        <f>IFERROR(VLOOKUP($A73,[5]실험의뢰_장진영!$A:$M,4,0),"")</f>
        <v>표견 수량 부족, 증착 불량으로 표견 수량 부족함</v>
      </c>
      <c r="O73" s="59">
        <f>IFERROR(VLOOKUP($A73,[5]실험의뢰_장진영!$A:$M,6,0),"")</f>
        <v>45638</v>
      </c>
      <c r="P73" s="58" t="str">
        <f>IFERROR(VLOOKUP($A73,[5]실험의뢰_장진영!$A:$M,10,0),"")</f>
        <v>ABS (롯데첨단소재 MP-0670)</v>
      </c>
      <c r="Q73" s="58">
        <f>IFERROR(VLOOKUP($A73,[5]실험의뢰_장진영!$A:$M,11,0),"")</f>
        <v>0</v>
      </c>
      <c r="R73" s="58">
        <f>IFERROR(VLOOKUP($A73,[5]실험의뢰_장진영!$A:$M,12,0),"")</f>
        <v>0</v>
      </c>
      <c r="S73" s="58">
        <f>IFERROR(VLOOKUP($A73,[5]실험의뢰_장진영!$A:$M,13,0),"")</f>
        <v>0</v>
      </c>
      <c r="T73" s="58"/>
    </row>
    <row r="74" spans="1:20" ht="30" customHeight="1">
      <c r="A74" s="58" t="s">
        <v>283</v>
      </c>
      <c r="B74" s="58" t="str">
        <f>IFERROR(VLOOKUP($A74,[5]실험의뢰_장진영!$A:$M,3,0),"")</f>
        <v>아이오페 스템Ⅲ 클리니컬 리커버리 크림 50ML(25) 캡장식 사출</v>
      </c>
      <c r="C74" s="58" t="str">
        <f>IFERROR(VLOOKUP($A74,[5]실험의뢰_장진영!$A:$M,9,0),"")</f>
        <v>M241344_01</v>
      </c>
      <c r="D74" s="69" t="str">
        <f>IFERROR(VLOOKUP($A74,[5]실험의뢰_장진영!$A:$M,7,0),"")</f>
        <v>SI1540</v>
      </c>
      <c r="E74" s="1">
        <v>45642</v>
      </c>
      <c r="F74" t="s">
        <v>74</v>
      </c>
      <c r="G74" s="1" t="s">
        <v>164</v>
      </c>
      <c r="I74" s="3"/>
      <c r="J74" s="46">
        <v>9</v>
      </c>
      <c r="K74" s="74">
        <v>1118</v>
      </c>
      <c r="L74" s="46" t="str">
        <f>실험지시[[#This Row],[금형코드]]</f>
        <v>M241344_01</v>
      </c>
      <c r="M74" s="60">
        <f>IFERROR(VLOOKUP($A74,[5]실험의뢰_장진영!$A:$M,5,0),"")</f>
        <v>100</v>
      </c>
      <c r="N74" s="58" t="str">
        <f>IFERROR(VLOOKUP($A74,[5]실험의뢰_장진영!$A:$M,4,0),"")</f>
        <v>T5 시사출, 수정사항 확인 외경 키움. 기존 사출조건으로 찍고 외경 맞출 것</v>
      </c>
      <c r="O74" s="59">
        <f>IFERROR(VLOOKUP($A74,[5]실험의뢰_장진영!$A:$M,6,0),"")</f>
        <v>0</v>
      </c>
      <c r="P74" s="58" t="str">
        <f>IFERROR(VLOOKUP($A74,[5]실험의뢰_장진영!$A:$M,10,0),"")</f>
        <v>PETG (SK케미칼 PN200)</v>
      </c>
      <c r="Q74" s="58" t="str">
        <f>IFERROR(VLOOKUP($A74,[5]실험의뢰_장진영!$A:$M,11,0),"")</f>
        <v>증착사양</v>
      </c>
      <c r="R74" s="58">
        <f>IFERROR(VLOOKUP($A74,[5]실험의뢰_장진영!$A:$M,12,0),"")</f>
        <v>0</v>
      </c>
      <c r="S74" s="58" t="str">
        <f>IFERROR(VLOOKUP($A74,[5]실험의뢰_장진영!$A:$M,13,0),"")</f>
        <v>금형 입고 시 바로 사출해야 합니다. - 외경 꼭 맞춰야 합니다. 이전 사출 조건 확인해주세요</v>
      </c>
      <c r="T74" s="58"/>
    </row>
    <row r="75" spans="1:20" ht="30" customHeight="1">
      <c r="A75" s="58" t="s">
        <v>284</v>
      </c>
      <c r="B75" s="58" t="str">
        <f>IFERROR(VLOOKUP($A75,[5]실험의뢰_장진영!$A:$M,3,0),"")</f>
        <v>설화수 진설클렌징폼 견본 40ml (25AD 외캡</v>
      </c>
      <c r="C75" s="58" t="str">
        <f>IFERROR(VLOOKUP($A75,[5]실험의뢰_장진영!$A:$M,9,0),"")</f>
        <v>M241286_01</v>
      </c>
      <c r="D75" s="69" t="str">
        <f>IFERROR(VLOOKUP($A75,[5]실험의뢰_장진영!$A:$M,7,0),"")</f>
        <v>SI1554</v>
      </c>
      <c r="E75" s="1">
        <v>45660</v>
      </c>
      <c r="F75" t="s">
        <v>161</v>
      </c>
      <c r="G75" s="1" t="s">
        <v>164</v>
      </c>
      <c r="H75" t="s">
        <v>165</v>
      </c>
      <c r="I75" s="3">
        <v>4</v>
      </c>
      <c r="J75" s="46">
        <v>17</v>
      </c>
      <c r="K75" s="74">
        <v>1108</v>
      </c>
      <c r="L75" s="46" t="str">
        <f>실험지시[[#This Row],[금형코드]]</f>
        <v>M241286_01</v>
      </c>
      <c r="M75" s="60">
        <f>IFERROR(VLOOKUP($A75,[5]실험의뢰_장진영!$A:$M,5,0),"")</f>
        <v>100</v>
      </c>
      <c r="N75" s="58" t="str">
        <f>IFERROR(VLOOKUP($A75,[5]실험의뢰_장진영!$A:$M,4,0),"")</f>
        <v>색상이 않맞아 표견용 다시 사출, 타겟보고 %다시 조정해양 합니다.</v>
      </c>
      <c r="O75" s="59">
        <f>IFERROR(VLOOKUP($A75,[5]실험의뢰_장진영!$A:$M,6,0),"")</f>
        <v>45643</v>
      </c>
      <c r="P75" s="58" t="str">
        <f>IFERROR(VLOOKUP($A75,[5]실험의뢰_장진영!$A:$M,10,0),"")</f>
        <v>ABS (롯데첨단소재 SL-0100)</v>
      </c>
      <c r="Q75" s="58" t="str">
        <f>IFERROR(VLOOKUP($A75,[5]실험의뢰_장진영!$A:$M,11,0),"")</f>
        <v>지난 실험에서 4% 컨펌</v>
      </c>
      <c r="R75" s="58">
        <f>IFERROR(VLOOKUP($A75,[5]실험의뢰_장진영!$A:$M,12,0),"")</f>
        <v>0.04</v>
      </c>
      <c r="S75" s="58" t="str">
        <f>IFERROR(VLOOKUP($A75,[5]실험의뢰_장진영!$A:$M,13,0),"")</f>
        <v>가스밴트 수정 후 스크래치 개선 효과 있는지 확인하려 합니다. 찍는 김에 프리웍스 수량 사출하면 어떨까 합니다.</v>
      </c>
      <c r="T75" s="58"/>
    </row>
    <row r="76" spans="1:20" ht="30" customHeight="1">
      <c r="A76" s="58" t="s">
        <v>285</v>
      </c>
      <c r="B76" s="58" t="str">
        <f>IFERROR(VLOOKUP($A76,[5]실험의뢰_장진영!$A:$M,3,0),"")</f>
        <v>아이오페 슈퍼바이탈 크림 50ML(24EC 내용기</v>
      </c>
      <c r="C76" s="58" t="str">
        <f>IFERROR(VLOOKUP($A76,[5]실험의뢰_장진영!$A:$M,9,0),"")</f>
        <v>M241150_01, M241158_02</v>
      </c>
      <c r="D76" s="69" t="str">
        <f>IFERROR(VLOOKUP($A76,[5]실험의뢰_장진영!$A:$M,7,0),"")</f>
        <v>SI1519</v>
      </c>
      <c r="E76" s="1">
        <v>45643</v>
      </c>
      <c r="F76" t="s">
        <v>114</v>
      </c>
      <c r="G76" s="1" t="s">
        <v>202</v>
      </c>
      <c r="H76" t="s">
        <v>203</v>
      </c>
      <c r="I76" s="3">
        <v>4</v>
      </c>
      <c r="J76" s="46">
        <v>24</v>
      </c>
      <c r="K76" s="74">
        <v>1127</v>
      </c>
      <c r="L76" s="46" t="str">
        <f>실험지시[[#This Row],[금형코드]]</f>
        <v>M241150_01, M241158_02</v>
      </c>
      <c r="M76" s="60">
        <f>IFERROR(VLOOKUP($A76,[5]실험의뢰_장진영!$A:$M,5,0),"")</f>
        <v>200</v>
      </c>
      <c r="N76" s="58" t="str">
        <f>IFERROR(VLOOKUP($A76,[5]실험의뢰_장진영!$A:$M,4,0),"")</f>
        <v>2차 내용기, 파팅버나 나사경 치수 관리 내에 주요치수 최대한 크게 찍는 것이 목적, 도움이 되면 1차도 수정 예정</v>
      </c>
      <c r="O76" s="59">
        <f>IFERROR(VLOOKUP($A76,[5]실험의뢰_장진영!$A:$M,6,0),"")</f>
        <v>45642</v>
      </c>
      <c r="P76" s="58" t="str">
        <f>IFERROR(VLOOKUP($A76,[5]실험의뢰_장진영!$A:$M,10,0),"")</f>
        <v>J560K </v>
      </c>
      <c r="Q76" s="58" t="str">
        <f>IFERROR(VLOOKUP($A76,[5]실험의뢰_장진영!$A:$M,11,0),"")</f>
        <v>SW240613-10</v>
      </c>
      <c r="R76" s="58">
        <f>IFERROR(VLOOKUP($A76,[5]실험의뢰_장진영!$A:$M,12,0),"")</f>
        <v>0</v>
      </c>
      <c r="S76" s="58" t="str">
        <f>IFERROR(VLOOKUP($A76,[5]실험의뢰_장진영!$A:$M,13,0),"")</f>
        <v>파팅버나 나사경 치수 오버되지 않는 범위에서 기존치수보다 크게 찍습니다.</v>
      </c>
      <c r="T76" s="58"/>
    </row>
    <row r="77" spans="1:20" ht="30" customHeight="1">
      <c r="A77" s="58" t="s">
        <v>270</v>
      </c>
      <c r="B77" s="58" t="str">
        <f>IFERROR(VLOOKUP($A77,[5]실험의뢰_장진영!$A:$M,3,0),"")</f>
        <v>7493354 설화수 에센셜 퍼 탄력영양크림 75ML 외캡</v>
      </c>
      <c r="C77" s="58" t="str">
        <f>IFERROR(VLOOKUP($A77,[5]실험의뢰_장진영!$A:$M,9,0),"")</f>
        <v>M211168</v>
      </c>
      <c r="D77" s="69" t="str">
        <f>IFERROR(VLOOKUP($A77,[5]실험의뢰_장진영!$A:$M,7,0),"")</f>
        <v>SI1352</v>
      </c>
      <c r="E77" s="1">
        <v>45643</v>
      </c>
      <c r="F77" t="s">
        <v>161</v>
      </c>
      <c r="G77" s="1" t="s">
        <v>164</v>
      </c>
      <c r="I77" s="3"/>
      <c r="L77" s="46" t="str">
        <f>실험지시[[#This Row],[금형코드]]</f>
        <v>M211168</v>
      </c>
      <c r="M77" s="60">
        <f>IFERROR(VLOOKUP($A77,[5]실험의뢰_장진영!$A:$M,5,0),"")</f>
        <v>150</v>
      </c>
      <c r="N77" s="58" t="str">
        <f>IFERROR(VLOOKUP($A77,[5]실험의뢰_장진영!$A:$M,4,0),"")</f>
        <v>증착색상 변경, 기존 네츄럴 재고 있으며 대체 가능</v>
      </c>
      <c r="O77" s="59">
        <f>IFERROR(VLOOKUP($A77,[5]실험의뢰_장진영!$A:$M,6,0),"")</f>
        <v>45637</v>
      </c>
      <c r="P77" s="58">
        <f>IFERROR(VLOOKUP($A77,[5]실험의뢰_장진영!$A:$M,10,0),"")</f>
        <v>0</v>
      </c>
      <c r="Q77" s="58">
        <f>IFERROR(VLOOKUP($A77,[5]실험의뢰_장진영!$A:$M,11,0),"")</f>
        <v>0</v>
      </c>
      <c r="R77" s="58">
        <f>IFERROR(VLOOKUP($A77,[5]실험의뢰_장진영!$A:$M,12,0),"")</f>
        <v>0</v>
      </c>
      <c r="S77" s="58">
        <f>IFERROR(VLOOKUP($A77,[5]실험의뢰_장진영!$A:$M,13,0),"")</f>
        <v>0</v>
      </c>
      <c r="T77" s="58" t="s">
        <v>286</v>
      </c>
    </row>
    <row r="78" spans="1:20" ht="30" customHeight="1">
      <c r="A78" s="58" t="s">
        <v>345</v>
      </c>
      <c r="B78" s="58" t="str">
        <f>IFERROR(VLOOKUP($A78,[5]실험의뢰_장진영!$A:$M,3,0),"")</f>
        <v>아이오페 슈퍼바이탈 크림 50ML(24EC 외용기</v>
      </c>
      <c r="C78" s="58" t="str">
        <f>IFERROR(VLOOKUP($A78,[5]실험의뢰_장진영!$A:$M,9,0),"")</f>
        <v>M241151_01, M241159_02</v>
      </c>
      <c r="D78" s="98" t="str">
        <f>IFERROR(VLOOKUP($A78,[5]실험의뢰_장진영!$A:$M,7,0),"")</f>
        <v>SI1586</v>
      </c>
      <c r="E78" s="1">
        <v>45644</v>
      </c>
      <c r="F78" t="s">
        <v>74</v>
      </c>
      <c r="G78" s="1" t="s">
        <v>164</v>
      </c>
      <c r="I78" s="3"/>
      <c r="J78" s="46">
        <v>22</v>
      </c>
      <c r="L78" s="46" t="str">
        <f>실험지시[[#This Row],[금형코드]]</f>
        <v>M241151_01, M241159_02</v>
      </c>
      <c r="M78" s="60">
        <f>IFERROR(VLOOKUP($A78,[5]실험의뢰_장진영!$A:$M,5,0),"")</f>
        <v>200</v>
      </c>
      <c r="N78" s="58" t="str">
        <f>IFERROR(VLOOKUP($A78,[5]실험의뢰_장진영!$A:$M,4,0),"")</f>
        <v>1차 금형, 4M변경 테스트 및 표견용</v>
      </c>
      <c r="O78" s="59">
        <f>IFERROR(VLOOKUP($A78,[5]실험의뢰_장진영!$A:$M,6,0),"")</f>
        <v>45646</v>
      </c>
      <c r="P78" s="58" t="str">
        <f>IFERROR(VLOOKUP($A78,[5]실험의뢰_장진영!$A:$M,10,0),"")</f>
        <v>ABS MP-0670</v>
      </c>
      <c r="Q78" s="58">
        <f>IFERROR(VLOOKUP($A78,[5]실험의뢰_장진영!$A:$M,11,0),"")</f>
        <v>0</v>
      </c>
      <c r="R78" s="58">
        <f>IFERROR(VLOOKUP($A78,[5]실험의뢰_장진영!$A:$M,12,0),"")</f>
        <v>0</v>
      </c>
      <c r="S78" s="58">
        <f>IFERROR(VLOOKUP($A78,[5]실험의뢰_장진영!$A:$M,13,0),"")</f>
        <v>0</v>
      </c>
      <c r="T78" s="58"/>
    </row>
    <row r="79" spans="1:20" ht="30" customHeight="1">
      <c r="A79" s="58" t="s">
        <v>348</v>
      </c>
      <c r="B79" s="58" t="str">
        <f>IFERROR(VLOOKUP($A79,[5]실험의뢰_장진영!$A:$M,3,0),"")</f>
        <v>아이오페 슈퍼바이탈 크림 50ML(24EC 용기받침</v>
      </c>
      <c r="C79" s="58" t="str">
        <f>IFERROR(VLOOKUP($A79,[5]실험의뢰_장진영!$A:$M,9,0),"")</f>
        <v>M241152_01, M241160_02</v>
      </c>
      <c r="D79" s="97" t="str">
        <f>IFERROR(VLOOKUP($A79,[5]실험의뢰_장진영!$A:$M,7,0),"")</f>
        <v>SI1587</v>
      </c>
      <c r="E79" s="1">
        <v>45645</v>
      </c>
      <c r="F79" t="s">
        <v>288</v>
      </c>
      <c r="G79" s="1" t="s">
        <v>164</v>
      </c>
      <c r="I79" s="3"/>
      <c r="J79" s="46">
        <v>17</v>
      </c>
      <c r="L79" s="46" t="str">
        <f>실험지시[[#This Row],[금형코드]]</f>
        <v>M241152_01, M241160_02</v>
      </c>
      <c r="M79" s="60">
        <f>IFERROR(VLOOKUP($A79,[5]실험의뢰_장진영!$A:$M,5,0),"")</f>
        <v>200</v>
      </c>
      <c r="N79" s="58" t="str">
        <f>IFERROR(VLOOKUP($A79,[5]실험의뢰_장진영!$A:$M,4,0),"")</f>
        <v>1차 금형, 4M변경 테스트 및 표견용</v>
      </c>
      <c r="O79" s="59">
        <f>IFERROR(VLOOKUP($A79,[5]실험의뢰_장진영!$A:$M,6,0),"")</f>
        <v>45646</v>
      </c>
      <c r="P79" s="58" t="str">
        <f>IFERROR(VLOOKUP($A79,[5]실험의뢰_장진영!$A:$M,10,0),"")</f>
        <v>ABS MP-0670</v>
      </c>
      <c r="Q79" s="58">
        <f>IFERROR(VLOOKUP($A79,[5]실험의뢰_장진영!$A:$M,11,0),"")</f>
        <v>0</v>
      </c>
      <c r="R79" s="58">
        <f>IFERROR(VLOOKUP($A79,[5]실험의뢰_장진영!$A:$M,12,0),"")</f>
        <v>0</v>
      </c>
      <c r="S79" s="58">
        <f>IFERROR(VLOOKUP($A79,[5]실험의뢰_장진영!$A:$M,13,0),"")</f>
        <v>0</v>
      </c>
      <c r="T79" s="58"/>
    </row>
    <row r="80" spans="1:20" ht="30" customHeight="1">
      <c r="A80" s="99" t="s">
        <v>351</v>
      </c>
      <c r="B80" s="58" t="str">
        <f>IFERROR(VLOOKUP($A80,[5]실험의뢰_장진영!$A:$M,3,0),"")</f>
        <v>아이오페 슈퍼바이탈 크림 50ML(24EC 외캡</v>
      </c>
      <c r="C80" s="58" t="str">
        <f>IFERROR(VLOOKUP($A80,[5]실험의뢰_장진영!$A:$M,9,0),"")</f>
        <v>M241148_01, M241156_02</v>
      </c>
      <c r="D80" s="97" t="str">
        <f>IFERROR(VLOOKUP($A80,[5]실험의뢰_장진영!$A:$M,7,0),"")</f>
        <v>SI1589</v>
      </c>
      <c r="E80" s="1">
        <v>45645</v>
      </c>
      <c r="F80" t="s">
        <v>114</v>
      </c>
      <c r="G80" s="1" t="s">
        <v>164</v>
      </c>
      <c r="I80" s="3"/>
      <c r="J80" s="46">
        <v>17</v>
      </c>
      <c r="L80" s="46" t="str">
        <f>실험지시[[#This Row],[금형코드]]</f>
        <v>M241148_01, M241156_02</v>
      </c>
      <c r="M80" s="60">
        <f>IFERROR(VLOOKUP($A80,[5]실험의뢰_장진영!$A:$M,5,0),"")</f>
        <v>200</v>
      </c>
      <c r="N80" s="58" t="str">
        <f>IFERROR(VLOOKUP($A80,[5]실험의뢰_장진영!$A:$M,4,0),"")</f>
        <v>1차 금형, 4M변경 테스트 및 표견용</v>
      </c>
      <c r="O80" s="59">
        <f>IFERROR(VLOOKUP($A80,[5]실험의뢰_장진영!$A:$M,6,0),"")</f>
        <v>45646</v>
      </c>
      <c r="P80" s="58" t="str">
        <f>IFERROR(VLOOKUP($A80,[5]실험의뢰_장진영!$A:$M,10,0),"")</f>
        <v>ABS MP-0670</v>
      </c>
      <c r="Q80" s="58">
        <f>IFERROR(VLOOKUP($A80,[5]실험의뢰_장진영!$A:$M,11,0),"")</f>
        <v>0</v>
      </c>
      <c r="R80" s="58">
        <f>IFERROR(VLOOKUP($A80,[5]실험의뢰_장진영!$A:$M,12,0),"")</f>
        <v>0</v>
      </c>
      <c r="S80" s="58">
        <f>IFERROR(VLOOKUP($A80,[5]실험의뢰_장진영!$A:$M,13,0),"")</f>
        <v>0</v>
      </c>
      <c r="T80" s="58"/>
    </row>
    <row r="81" spans="1:20" ht="30" customHeight="1">
      <c r="A81" s="99" t="s">
        <v>354</v>
      </c>
      <c r="B81" s="58" t="str">
        <f>IFERROR(VLOOKUP($A81,[5]실험의뢰_장진영!$A:$M,3,0),"")</f>
        <v>아이오페 슈퍼바이탈 크림 50ML(24EC 캡장식</v>
      </c>
      <c r="C81" s="58" t="str">
        <f>IFERROR(VLOOKUP($A81,[5]실험의뢰_장진영!$A:$M,9,0),"")</f>
        <v>M241149_01, M241157_02</v>
      </c>
      <c r="D81" s="97" t="str">
        <f>IFERROR(VLOOKUP($A81,[5]실험의뢰_장진영!$A:$M,7,0),"")</f>
        <v>SI1588</v>
      </c>
      <c r="E81" s="1">
        <v>45646</v>
      </c>
      <c r="F81" t="s">
        <v>289</v>
      </c>
      <c r="G81" s="1" t="s">
        <v>164</v>
      </c>
      <c r="I81" s="3"/>
      <c r="J81" s="46">
        <v>17</v>
      </c>
      <c r="L81" s="46" t="str">
        <f>실험지시[[#This Row],[금형코드]]</f>
        <v>M241149_01, M241157_02</v>
      </c>
      <c r="M81" s="60">
        <f>IFERROR(VLOOKUP($A81,[5]실험의뢰_장진영!$A:$M,5,0),"")</f>
        <v>200</v>
      </c>
      <c r="N81" s="58" t="str">
        <f>IFERROR(VLOOKUP($A81,[5]실험의뢰_장진영!$A:$M,4,0),"")</f>
        <v>1차 금형, 4M변경 테스트 및 표견용</v>
      </c>
      <c r="O81" s="59">
        <f>IFERROR(VLOOKUP($A81,[5]실험의뢰_장진영!$A:$M,6,0),"")</f>
        <v>45646</v>
      </c>
      <c r="P81" s="58" t="str">
        <f>IFERROR(VLOOKUP($A81,[5]실험의뢰_장진영!$A:$M,10,0),"")</f>
        <v>ABS MP-0670</v>
      </c>
      <c r="Q81" s="58">
        <f>IFERROR(VLOOKUP($A81,[5]실험의뢰_장진영!$A:$M,11,0),"")</f>
        <v>0</v>
      </c>
      <c r="R81" s="58">
        <f>IFERROR(VLOOKUP($A81,[5]실험의뢰_장진영!$A:$M,12,0),"")</f>
        <v>0</v>
      </c>
      <c r="S81" s="58">
        <f>IFERROR(VLOOKUP($A81,[5]실험의뢰_장진영!$A:$M,13,0),"")</f>
        <v>0</v>
      </c>
      <c r="T81" s="58"/>
    </row>
    <row r="82" spans="1:20" ht="30" customHeight="1">
      <c r="A82" s="58" t="s">
        <v>346</v>
      </c>
      <c r="B82" s="58" t="str">
        <f>IFERROR(VLOOKUP($A82,[5]실험의뢰_장진영!$A:$M,3,0),"")</f>
        <v>아이오페 슈퍼바이탈 크림 50ML(24EC 외용기</v>
      </c>
      <c r="C82" s="58" t="str">
        <f>IFERROR(VLOOKUP($A82,[5]실험의뢰_장진영!$A:$M,9,0),"")</f>
        <v>M241151_01, M241159_02</v>
      </c>
      <c r="D82" s="98" t="str">
        <f>IFERROR(VLOOKUP($A82,[5]실험의뢰_장진영!$A:$M,7,0),"")</f>
        <v>SI1586</v>
      </c>
      <c r="E82" s="1">
        <v>45644</v>
      </c>
      <c r="F82" t="s">
        <v>74</v>
      </c>
      <c r="G82" s="1" t="s">
        <v>164</v>
      </c>
      <c r="I82" s="3"/>
      <c r="J82" s="46">
        <v>22</v>
      </c>
      <c r="L82" s="46" t="str">
        <f>실험지시[[#This Row],[금형코드]]</f>
        <v>M241151_01, M241159_02</v>
      </c>
      <c r="M82" s="60">
        <f>IFERROR(VLOOKUP($A82,[5]실험의뢰_장진영!$A:$M,5,0),"")</f>
        <v>200</v>
      </c>
      <c r="N82" s="58" t="str">
        <f>IFERROR(VLOOKUP($A82,[5]실험의뢰_장진영!$A:$M,4,0),"")</f>
        <v>2차 금형, 4M변경 테스트 및 표견용</v>
      </c>
      <c r="O82" s="59">
        <f>IFERROR(VLOOKUP($A82,[5]실험의뢰_장진영!$A:$M,6,0),"")</f>
        <v>45646</v>
      </c>
      <c r="P82" s="58" t="str">
        <f>IFERROR(VLOOKUP($A82,[5]실험의뢰_장진영!$A:$M,10,0),"")</f>
        <v>ABS MP-0670</v>
      </c>
      <c r="Q82" s="58">
        <f>IFERROR(VLOOKUP($A82,[5]실험의뢰_장진영!$A:$M,11,0),"")</f>
        <v>0</v>
      </c>
      <c r="R82" s="58">
        <f>IFERROR(VLOOKUP($A82,[5]실험의뢰_장진영!$A:$M,12,0),"")</f>
        <v>0</v>
      </c>
      <c r="S82" s="58">
        <f>IFERROR(VLOOKUP($A82,[5]실험의뢰_장진영!$A:$M,13,0),"")</f>
        <v>0</v>
      </c>
      <c r="T82" s="58"/>
    </row>
    <row r="83" spans="1:20" ht="30" customHeight="1">
      <c r="A83" s="99" t="s">
        <v>352</v>
      </c>
      <c r="B83" s="58" t="str">
        <f>IFERROR(VLOOKUP($A83,[5]실험의뢰_장진영!$A:$M,3,0),"")</f>
        <v>아이오페 슈퍼바이탈 크림 50ML(24EC 외캡</v>
      </c>
      <c r="C83" s="58" t="str">
        <f>IFERROR(VLOOKUP($A83,[5]실험의뢰_장진영!$A:$M,9,0),"")</f>
        <v>M241148_01, M241156_02</v>
      </c>
      <c r="D83" s="97" t="str">
        <f>IFERROR(VLOOKUP($A83,[5]실험의뢰_장진영!$A:$M,7,0),"")</f>
        <v>SI1589</v>
      </c>
      <c r="E83" s="1">
        <v>45645</v>
      </c>
      <c r="F83" t="s">
        <v>114</v>
      </c>
      <c r="G83" s="1" t="s">
        <v>164</v>
      </c>
      <c r="I83" s="3"/>
      <c r="J83" s="46">
        <v>17</v>
      </c>
      <c r="L83" s="46" t="str">
        <f>실험지시[[#This Row],[금형코드]]</f>
        <v>M241148_01, M241156_02</v>
      </c>
      <c r="M83" s="60">
        <f>IFERROR(VLOOKUP($A83,[5]실험의뢰_장진영!$A:$M,5,0),"")</f>
        <v>200</v>
      </c>
      <c r="N83" s="58" t="str">
        <f>IFERROR(VLOOKUP($A83,[5]실험의뢰_장진영!$A:$M,4,0),"")</f>
        <v>2차 금형, 4M변경 테스트 및 표견용</v>
      </c>
      <c r="O83" s="59">
        <f>IFERROR(VLOOKUP($A83,[5]실험의뢰_장진영!$A:$M,6,0),"")</f>
        <v>45646</v>
      </c>
      <c r="P83" s="58" t="str">
        <f>IFERROR(VLOOKUP($A83,[5]실험의뢰_장진영!$A:$M,10,0),"")</f>
        <v>ABS MP-0670</v>
      </c>
      <c r="Q83" s="58">
        <f>IFERROR(VLOOKUP($A83,[5]실험의뢰_장진영!$A:$M,11,0),"")</f>
        <v>0</v>
      </c>
      <c r="R83" s="58">
        <f>IFERROR(VLOOKUP($A83,[5]실험의뢰_장진영!$A:$M,12,0),"")</f>
        <v>0</v>
      </c>
      <c r="S83" s="58">
        <f>IFERROR(VLOOKUP($A83,[5]실험의뢰_장진영!$A:$M,13,0),"")</f>
        <v>0</v>
      </c>
      <c r="T83" s="58"/>
    </row>
    <row r="84" spans="1:20" ht="30" customHeight="1">
      <c r="A84" s="58" t="s">
        <v>349</v>
      </c>
      <c r="B84" s="58" t="str">
        <f>IFERROR(VLOOKUP($A84,[5]실험의뢰_장진영!$A:$M,3,0),"")</f>
        <v>아이오페 슈퍼바이탈 크림 50ML(24EC 용기받침</v>
      </c>
      <c r="C84" s="58" t="str">
        <f>IFERROR(VLOOKUP($A84,[5]실험의뢰_장진영!$A:$M,9,0),"")</f>
        <v>M241152_01, M241160_02</v>
      </c>
      <c r="D84" s="97" t="str">
        <f>IFERROR(VLOOKUP($A84,[5]실험의뢰_장진영!$A:$M,7,0),"")</f>
        <v>SI1587</v>
      </c>
      <c r="E84" s="1">
        <v>45645</v>
      </c>
      <c r="F84" t="s">
        <v>288</v>
      </c>
      <c r="G84" s="1" t="s">
        <v>164</v>
      </c>
      <c r="I84" s="3"/>
      <c r="J84" s="46">
        <v>17</v>
      </c>
      <c r="L84" s="46" t="str">
        <f>실험지시[[#This Row],[금형코드]]</f>
        <v>M241152_01, M241160_02</v>
      </c>
      <c r="M84" s="60">
        <f>IFERROR(VLOOKUP($A84,[5]실험의뢰_장진영!$A:$M,5,0),"")</f>
        <v>200</v>
      </c>
      <c r="N84" s="58" t="str">
        <f>IFERROR(VLOOKUP($A84,[5]실험의뢰_장진영!$A:$M,4,0),"")</f>
        <v>2차 금형, 4M변경 테스트 및 표견용</v>
      </c>
      <c r="O84" s="59">
        <f>IFERROR(VLOOKUP($A84,[5]실험의뢰_장진영!$A:$M,6,0),"")</f>
        <v>45646</v>
      </c>
      <c r="P84" s="58" t="str">
        <f>IFERROR(VLOOKUP($A84,[5]실험의뢰_장진영!$A:$M,10,0),"")</f>
        <v>ABS MP-0670</v>
      </c>
      <c r="Q84" s="58">
        <f>IFERROR(VLOOKUP($A84,[5]실험의뢰_장진영!$A:$M,11,0),"")</f>
        <v>0</v>
      </c>
      <c r="R84" s="58">
        <f>IFERROR(VLOOKUP($A84,[5]실험의뢰_장진영!$A:$M,12,0),"")</f>
        <v>0</v>
      </c>
      <c r="S84" s="58">
        <f>IFERROR(VLOOKUP($A84,[5]실험의뢰_장진영!$A:$M,13,0),"")</f>
        <v>0</v>
      </c>
      <c r="T84" s="58"/>
    </row>
    <row r="85" spans="1:20" ht="30" customHeight="1">
      <c r="A85" s="99" t="s">
        <v>355</v>
      </c>
      <c r="B85" s="58" t="str">
        <f>IFERROR(VLOOKUP($A85,[5]실험의뢰_장진영!$A:$M,3,0),"")</f>
        <v>아이오페 슈퍼바이탈 크림 50ML(24EC 캡장식</v>
      </c>
      <c r="C85" s="58" t="str">
        <f>IFERROR(VLOOKUP($A85,[5]실험의뢰_장진영!$A:$M,9,0),"")</f>
        <v>M241149_01, M241157_02</v>
      </c>
      <c r="D85" s="97" t="str">
        <f>IFERROR(VLOOKUP($A85,[5]실험의뢰_장진영!$A:$M,7,0),"")</f>
        <v>SI1588</v>
      </c>
      <c r="E85" s="1">
        <v>45646</v>
      </c>
      <c r="F85" t="s">
        <v>289</v>
      </c>
      <c r="G85" s="1" t="s">
        <v>164</v>
      </c>
      <c r="I85" s="3"/>
      <c r="J85" s="46">
        <v>17</v>
      </c>
      <c r="L85" s="46" t="str">
        <f>실험지시[[#This Row],[금형코드]]</f>
        <v>M241149_01, M241157_02</v>
      </c>
      <c r="M85" s="60">
        <f>IFERROR(VLOOKUP($A85,[5]실험의뢰_장진영!$A:$M,5,0),"")</f>
        <v>200</v>
      </c>
      <c r="N85" s="58" t="str">
        <f>IFERROR(VLOOKUP($A85,[5]실험의뢰_장진영!$A:$M,4,0),"")</f>
        <v>2차 금형, 4M변경 테스트 및 표견용</v>
      </c>
      <c r="O85" s="59">
        <f>IFERROR(VLOOKUP($A85,[5]실험의뢰_장진영!$A:$M,6,0),"")</f>
        <v>45646</v>
      </c>
      <c r="P85" s="58" t="str">
        <f>IFERROR(VLOOKUP($A85,[5]실험의뢰_장진영!$A:$M,10,0),"")</f>
        <v>ABS MP-0670</v>
      </c>
      <c r="Q85" s="58">
        <f>IFERROR(VLOOKUP($A85,[5]실험의뢰_장진영!$A:$M,11,0),"")</f>
        <v>0</v>
      </c>
      <c r="R85" s="58">
        <f>IFERROR(VLOOKUP($A85,[5]실험의뢰_장진영!$A:$M,12,0),"")</f>
        <v>0</v>
      </c>
      <c r="S85" s="58">
        <f>IFERROR(VLOOKUP($A85,[5]실험의뢰_장진영!$A:$M,13,0),"")</f>
        <v>0</v>
      </c>
      <c r="T85" s="58"/>
    </row>
    <row r="86" spans="1:20" ht="30" customHeight="1">
      <c r="A86" s="58" t="s">
        <v>290</v>
      </c>
      <c r="B86" s="58" t="str">
        <f>IFERROR(VLOOKUP($A86,[5]실험의뢰_장진영!$A:$M,3,0),"")</f>
        <v>라보에이치 모발강화 트리트먼트 200ml 50파이 원터치캡</v>
      </c>
      <c r="C86" s="58" t="str">
        <f>IFERROR(VLOOKUP($A86,[5]실험의뢰_장진영!$A:$M,9,0),"")</f>
        <v>M241332-01</v>
      </c>
      <c r="D86" s="69" t="str">
        <f>IFERROR(VLOOKUP($A86,[5]실험의뢰_장진영!$A:$M,7,0),"")</f>
        <v>SI1557</v>
      </c>
      <c r="E86" s="1">
        <v>45649</v>
      </c>
      <c r="F86" t="s">
        <v>161</v>
      </c>
      <c r="G86" s="1" t="s">
        <v>157</v>
      </c>
      <c r="H86" t="s">
        <v>252</v>
      </c>
      <c r="I86" s="3">
        <v>4</v>
      </c>
      <c r="J86" s="46">
        <v>17</v>
      </c>
      <c r="L86" s="46" t="str">
        <f>실험지시[[#This Row],[금형코드]]</f>
        <v>M241332-01</v>
      </c>
      <c r="M86" s="60">
        <f>IFERROR(VLOOKUP($A86,[5]실험의뢰_장진영!$A:$M,5,0),"")</f>
        <v>200</v>
      </c>
      <c r="N86" s="58" t="str">
        <f>IFERROR(VLOOKUP($A86,[5]실험의뢰_장진영!$A:$M,4,0),"")</f>
        <v>T2 시사출, 아이팩 제품</v>
      </c>
      <c r="O86" s="59">
        <f>IFERROR(VLOOKUP($A86,[5]실험의뢰_장진영!$A:$M,6,0),"")</f>
        <v>45646</v>
      </c>
      <c r="P86" s="58" t="str">
        <f>IFERROR(VLOOKUP($A86,[5]실험의뢰_장진영!$A:$M,10,0),"")</f>
        <v>PP (롯데케미칼 J-560S)</v>
      </c>
      <c r="Q86" s="58" t="str">
        <f>IFERROR(VLOOKUP($A86,[5]실험의뢰_장진영!$A:$M,11,0),"")</f>
        <v>수정된 MB로 사출해야 합니다</v>
      </c>
      <c r="R86" s="58">
        <f>IFERROR(VLOOKUP($A86,[5]실험의뢰_장진영!$A:$M,12,0),"")</f>
        <v>0</v>
      </c>
      <c r="S86" s="58">
        <f>IFERROR(VLOOKUP($A86,[5]실험의뢰_장진영!$A:$M,13,0),"")</f>
        <v>0</v>
      </c>
      <c r="T86" s="58"/>
    </row>
    <row r="87" spans="1:20" ht="30" customHeight="1">
      <c r="A87" s="58" t="s">
        <v>291</v>
      </c>
      <c r="B87" s="58" t="str">
        <f>IFERROR(VLOOKUP($A87,[5]실험의뢰_장진영!$A:$M,3,0),"")</f>
        <v>라보에이치 모발강화 트리트먼트 300ml 60파이 원터치캡</v>
      </c>
      <c r="C87" s="58" t="str">
        <f>IFERROR(VLOOKUP($A87,[5]실험의뢰_장진영!$A:$M,9,0),"")</f>
        <v>M241336-01</v>
      </c>
      <c r="D87" s="69" t="str">
        <f>IFERROR(VLOOKUP($A87,[5]실험의뢰_장진영!$A:$M,7,0),"")</f>
        <v>SI1559</v>
      </c>
      <c r="E87" s="1">
        <v>45649</v>
      </c>
      <c r="F87" t="s">
        <v>161</v>
      </c>
      <c r="G87" s="1" t="s">
        <v>157</v>
      </c>
      <c r="H87" t="s">
        <v>252</v>
      </c>
      <c r="I87" s="3">
        <v>4</v>
      </c>
      <c r="J87" s="46">
        <v>17</v>
      </c>
      <c r="L87" s="46" t="str">
        <f>실험지시[[#This Row],[금형코드]]</f>
        <v>M241336-01</v>
      </c>
      <c r="M87" s="60">
        <f>IFERROR(VLOOKUP($A87,[5]실험의뢰_장진영!$A:$M,5,0),"")</f>
        <v>200</v>
      </c>
      <c r="N87" s="58" t="str">
        <f>IFERROR(VLOOKUP($A87,[5]실험의뢰_장진영!$A:$M,4,0),"")</f>
        <v>T2 시사출</v>
      </c>
      <c r="O87" s="59">
        <f>IFERROR(VLOOKUP($A87,[5]실험의뢰_장진영!$A:$M,6,0),"")</f>
        <v>45646</v>
      </c>
      <c r="P87" s="58">
        <f>IFERROR(VLOOKUP($A87,[5]실험의뢰_장진영!$A:$M,10,0),"")</f>
        <v>0</v>
      </c>
      <c r="Q87" s="58">
        <f>IFERROR(VLOOKUP($A87,[5]실험의뢰_장진영!$A:$M,11,0),"")</f>
        <v>0</v>
      </c>
      <c r="R87" s="58">
        <f>IFERROR(VLOOKUP($A87,[5]실험의뢰_장진영!$A:$M,12,0),"")</f>
        <v>0</v>
      </c>
      <c r="S87" s="58">
        <f>IFERROR(VLOOKUP($A87,[5]실험의뢰_장진영!$A:$M,13,0),"")</f>
        <v>0</v>
      </c>
      <c r="T87" s="58"/>
    </row>
    <row r="88" spans="1:20" ht="30" customHeight="1">
      <c r="A88" s="58" t="s">
        <v>292</v>
      </c>
      <c r="B88" s="58" t="str">
        <f>IFERROR(VLOOKUP($A88,[5]실험의뢰_장진영!$A:$M,3,0),"")</f>
        <v>아이오페 스템Ⅲ 클리니컬 리커버리 크림 50ML(25) 외캡 사출</v>
      </c>
      <c r="C88" s="58" t="str">
        <f>IFERROR(VLOOKUP($A88,[5]실험의뢰_장진영!$A:$M,9,0),"")</f>
        <v>M241342_01</v>
      </c>
      <c r="D88" s="69" t="str">
        <f>IFERROR(VLOOKUP($A88,[5]실험의뢰_장진영!$A:$M,7,0),"")</f>
        <v>SI1541</v>
      </c>
      <c r="E88" s="1">
        <v>45650</v>
      </c>
      <c r="F88" t="s">
        <v>114</v>
      </c>
      <c r="G88" t="s">
        <v>75</v>
      </c>
      <c r="I88" s="3"/>
      <c r="J88" s="46">
        <v>9</v>
      </c>
      <c r="K88" s="74">
        <v>1212</v>
      </c>
      <c r="L88" s="46" t="str">
        <f>실험지시[[#This Row],[금형코드]]</f>
        <v>M241342_01</v>
      </c>
      <c r="M88" s="60">
        <f>IFERROR(VLOOKUP($A88,[5]실험의뢰_장진영!$A:$M,5,0),"")</f>
        <v>100</v>
      </c>
      <c r="N88" s="58" t="str">
        <f>IFERROR(VLOOKUP($A88,[5]실험의뢰_장진영!$A:$M,4,0),"")</f>
        <v>T5 시사출, 수정사항 확인 - DISC GATE 연결부 두께 보완 요청. (챔퍼 적용/금일 협의 내용 반영)
 - 내캡KEY조립 원형 리브에 GAS빼기(에어밴트) 추가 보완 요청.</v>
      </c>
      <c r="O88" s="59">
        <f>IFERROR(VLOOKUP($A88,[5]실험의뢰_장진영!$A:$M,6,0),"")</f>
        <v>45649</v>
      </c>
      <c r="P88" s="58" t="str">
        <f>IFERROR(VLOOKUP($A88,[5]실험의뢰_장진영!$A:$M,10,0),"")</f>
        <v>PETG (SK케미칼 PN200)</v>
      </c>
      <c r="Q88" s="58">
        <f>IFERROR(VLOOKUP($A88,[5]실험의뢰_장진영!$A:$M,11,0),"")</f>
        <v>0</v>
      </c>
      <c r="R88" s="58">
        <f>IFERROR(VLOOKUP($A88,[5]실험의뢰_장진영!$A:$M,12,0),"")</f>
        <v>0</v>
      </c>
      <c r="S88" s="58">
        <f>IFERROR(VLOOKUP($A88,[5]실험의뢰_장진영!$A:$M,13,0),"")</f>
        <v>0</v>
      </c>
      <c r="T88" s="58"/>
    </row>
    <row r="89" spans="1:20" ht="30" customHeight="1">
      <c r="A89" s="58" t="s">
        <v>296</v>
      </c>
      <c r="B89" s="58" t="str">
        <f>IFERROR(VLOOKUP($A89,[5]실험의뢰_장진영!$A:$M,3,0),"")</f>
        <v>라보에이치 모발강화 트리트먼트 200ml 50파이 장식</v>
      </c>
      <c r="C89" s="58" t="str">
        <f>IFERROR(VLOOKUP($A89,[5]실험의뢰_장진영!$A:$M,9,0),"")</f>
        <v>M241331-01</v>
      </c>
      <c r="D89" s="69" t="str">
        <f>IFERROR(VLOOKUP($A89,[5]실험의뢰_장진영!$A:$M,7,0),"")</f>
        <v>SI1558</v>
      </c>
      <c r="E89" s="1">
        <v>45651</v>
      </c>
      <c r="F89" t="s">
        <v>161</v>
      </c>
      <c r="G89" s="1" t="s">
        <v>157</v>
      </c>
      <c r="H89" t="s">
        <v>298</v>
      </c>
      <c r="I89" s="3">
        <v>5</v>
      </c>
      <c r="J89" s="46">
        <v>21</v>
      </c>
      <c r="L89" s="46" t="str">
        <f>실험지시[[#This Row],[금형코드]]</f>
        <v>M241331-01</v>
      </c>
      <c r="M89" s="60">
        <f>IFERROR(VLOOKUP($A89,[5]실험의뢰_장진영!$A:$M,5,0),"")</f>
        <v>200</v>
      </c>
      <c r="N89" s="58" t="str">
        <f>IFERROR(VLOOKUP($A89,[5]실험의뢰_장진영!$A:$M,4,0),"")</f>
        <v>T2 시사출</v>
      </c>
      <c r="O89" s="59">
        <f>IFERROR(VLOOKUP($A89,[5]실험의뢰_장진영!$A:$M,6,0),"")</f>
        <v>45646</v>
      </c>
      <c r="P89" s="58" t="str">
        <f>IFERROR(VLOOKUP($A89,[5]실험의뢰_장진영!$A:$M,10,0),"")</f>
        <v>PP (롯데케미칼 J-560S)</v>
      </c>
      <c r="Q89" s="58">
        <f>IFERROR(VLOOKUP($A89,[5]실험의뢰_장진영!$A:$M,11,0),"")</f>
        <v>0</v>
      </c>
      <c r="R89" s="58">
        <f>IFERROR(VLOOKUP($A89,[5]실험의뢰_장진영!$A:$M,12,0),"")</f>
        <v>0</v>
      </c>
      <c r="S89" s="58">
        <f>IFERROR(VLOOKUP($A89,[5]실험의뢰_장진영!$A:$M,13,0),"")</f>
        <v>0</v>
      </c>
      <c r="T89" s="58"/>
    </row>
    <row r="90" spans="1:20" ht="30" customHeight="1">
      <c r="A90" s="58" t="s">
        <v>297</v>
      </c>
      <c r="B90" s="58" t="str">
        <f>IFERROR(VLOOKUP($A90,[5]실험의뢰_장진영!$A:$M,3,0),"")</f>
        <v>라보에이치 모발강화 트리트먼트 300ml 60파이 장식</v>
      </c>
      <c r="C90" s="58" t="str">
        <f>IFERROR(VLOOKUP($A90,[5]실험의뢰_장진영!$A:$M,9,0),"")</f>
        <v>M241335-01</v>
      </c>
      <c r="D90" s="69" t="str">
        <f>IFERROR(VLOOKUP($A90,[5]실험의뢰_장진영!$A:$M,7,0),"")</f>
        <v>SI1560</v>
      </c>
      <c r="E90" s="1">
        <v>45651</v>
      </c>
      <c r="F90" t="s">
        <v>161</v>
      </c>
      <c r="G90" s="1" t="s">
        <v>157</v>
      </c>
      <c r="H90" t="s">
        <v>298</v>
      </c>
      <c r="I90" s="3">
        <v>5</v>
      </c>
      <c r="J90" s="46">
        <v>21</v>
      </c>
      <c r="K90" s="74">
        <v>1108</v>
      </c>
      <c r="L90" s="46" t="str">
        <f>실험지시[[#This Row],[금형코드]]</f>
        <v>M241335-01</v>
      </c>
      <c r="M90" s="60">
        <f>IFERROR(VLOOKUP($A90,[5]실험의뢰_장진영!$A:$M,5,0),"")</f>
        <v>200</v>
      </c>
      <c r="N90" s="58" t="str">
        <f>IFERROR(VLOOKUP($A90,[5]실험의뢰_장진영!$A:$M,4,0),"")</f>
        <v>T2 시사출</v>
      </c>
      <c r="O90" s="59">
        <f>IFERROR(VLOOKUP($A90,[5]실험의뢰_장진영!$A:$M,6,0),"")</f>
        <v>45646</v>
      </c>
      <c r="P90" s="58">
        <f>IFERROR(VLOOKUP($A90,[5]실험의뢰_장진영!$A:$M,10,0),"")</f>
        <v>0</v>
      </c>
      <c r="Q90" s="58">
        <f>IFERROR(VLOOKUP($A90,[5]실험의뢰_장진영!$A:$M,11,0),"")</f>
        <v>0</v>
      </c>
      <c r="R90" s="58">
        <f>IFERROR(VLOOKUP($A90,[5]실험의뢰_장진영!$A:$M,12,0),"")</f>
        <v>0</v>
      </c>
      <c r="S90" s="58">
        <f>IFERROR(VLOOKUP($A90,[5]실험의뢰_장진영!$A:$M,13,0),"")</f>
        <v>0</v>
      </c>
      <c r="T90" s="58"/>
    </row>
    <row r="91" spans="1:20" ht="30" customHeight="1">
      <c r="A91" s="58" t="s">
        <v>299</v>
      </c>
      <c r="B91" s="58" t="str">
        <f>IFERROR(VLOOKUP($A91,[5]실험의뢰_장진영!$A:$M,3,0),"")</f>
        <v>아이오페 스템Ⅲ 클리니컬 리커버리 크림 50ML(25) 내캡 사출</v>
      </c>
      <c r="C91" s="58" t="str">
        <f>IFERROR(VLOOKUP($A91,[5]실험의뢰_장진영!$A:$M,9,0),"")</f>
        <v>M241343_01</v>
      </c>
      <c r="D91" s="69" t="str">
        <f>IFERROR(VLOOKUP($A91,[5]실험의뢰_장진영!$A:$M,7,0),"")</f>
        <v>SI1542</v>
      </c>
      <c r="E91" s="1">
        <v>45651</v>
      </c>
      <c r="F91" t="s">
        <v>114</v>
      </c>
      <c r="G91" s="1" t="s">
        <v>157</v>
      </c>
      <c r="H91" t="s">
        <v>147</v>
      </c>
      <c r="I91" s="3">
        <v>4</v>
      </c>
      <c r="J91" s="46">
        <v>21</v>
      </c>
      <c r="K91" s="74">
        <v>1212</v>
      </c>
      <c r="L91" s="46" t="str">
        <f>실험지시[[#This Row],[금형코드]]</f>
        <v>M241343_01</v>
      </c>
      <c r="M91" s="60">
        <f>IFERROR(VLOOKUP($A91,[5]실험의뢰_장진영!$A:$M,5,0),"")</f>
        <v>100</v>
      </c>
      <c r="N91" s="58" t="str">
        <f>IFERROR(VLOOKUP($A91,[5]실험의뢰_장진영!$A:$M,4,0),"")</f>
        <v>T5 시사출, 수정사항 확인, 감촉 스토퍼 높이 및 길이 0.2mm씩 돌출량 키움.</v>
      </c>
      <c r="O91" s="59">
        <f>IFERROR(VLOOKUP($A91,[5]실험의뢰_장진영!$A:$M,6,0),"")</f>
        <v>45651</v>
      </c>
      <c r="P91" s="58" t="str">
        <f>IFERROR(VLOOKUP($A91,[5]실험의뢰_장진영!$A:$M,10,0),"")</f>
        <v>PP (롯데케미칼 J-560S)</v>
      </c>
      <c r="Q91" s="58">
        <f>IFERROR(VLOOKUP($A91,[5]실험의뢰_장진영!$A:$M,11,0),"")</f>
        <v>0</v>
      </c>
      <c r="R91" s="58">
        <f>IFERROR(VLOOKUP($A91,[5]실험의뢰_장진영!$A:$M,12,0),"")</f>
        <v>0</v>
      </c>
      <c r="S91" s="58">
        <f>IFERROR(VLOOKUP($A91,[5]실험의뢰_장진영!$A:$M,13,0),"")</f>
        <v>0</v>
      </c>
      <c r="T91" s="58"/>
    </row>
    <row r="92" spans="1:20" ht="30" customHeight="1">
      <c r="A92" s="58" t="s">
        <v>300</v>
      </c>
      <c r="B92" s="58" t="str">
        <f>IFERROR(VLOOKUP($A92,[5]실험의뢰_장진영!$A:$M,3,0),"")</f>
        <v>아이오페 슈퍼바이탈 크림 50ML(24EC 내용기</v>
      </c>
      <c r="C92" s="58" t="str">
        <f>IFERROR(VLOOKUP($A92,[5]실험의뢰_장진영!$A:$M,9,0),"")</f>
        <v>M241150_01, M241158_02</v>
      </c>
      <c r="D92" s="69" t="str">
        <f>IFERROR(VLOOKUP($A92,[5]실험의뢰_장진영!$A:$M,7,0),"")</f>
        <v>SI1519</v>
      </c>
      <c r="E92" s="1">
        <v>45660</v>
      </c>
      <c r="F92" t="s">
        <v>74</v>
      </c>
      <c r="G92" s="1" t="s">
        <v>202</v>
      </c>
      <c r="H92" t="s">
        <v>203</v>
      </c>
      <c r="I92" s="3">
        <v>4</v>
      </c>
      <c r="J92" s="46">
        <v>24</v>
      </c>
      <c r="K92" s="74">
        <v>1127</v>
      </c>
      <c r="L92" s="46" t="str">
        <f>실험지시[[#This Row],[금형코드]]</f>
        <v>M241150_01, M241158_02</v>
      </c>
      <c r="M92" s="60">
        <f>IFERROR(VLOOKUP($A92,[5]실험의뢰_장진영!$A:$M,5,0),"")</f>
        <v>400</v>
      </c>
      <c r="N92" s="58" t="str">
        <f>IFERROR(VLOOKUP($A92,[5]실험의뢰_장진영!$A:$M,4,0),"")</f>
        <v>1차 금형, 치수 주의, 테스트에서는 1,2차 구분없이 1차 내용기로 조립하랍니다</v>
      </c>
      <c r="O92" s="59">
        <f>IFERROR(VLOOKUP($A92,[5]실험의뢰_장진영!$A:$M,6,0),"")</f>
        <v>45660</v>
      </c>
      <c r="P92" s="58" t="str">
        <f>IFERROR(VLOOKUP($A92,[5]실험의뢰_장진영!$A:$M,10,0),"")</f>
        <v>J560K </v>
      </c>
      <c r="Q92" s="58" t="str">
        <f>IFERROR(VLOOKUP($A92,[5]실험의뢰_장진영!$A:$M,11,0),"")</f>
        <v>SW240613-10</v>
      </c>
      <c r="R92" s="58">
        <f>IFERROR(VLOOKUP($A92,[5]실험의뢰_장진영!$A:$M,12,0),"")</f>
        <v>0</v>
      </c>
      <c r="S92" s="58">
        <f>IFERROR(VLOOKUP($A92,[5]실험의뢰_장진영!$A:$M,13,0),"")</f>
        <v>0</v>
      </c>
      <c r="T92" s="58"/>
    </row>
    <row r="93" spans="1:20" ht="30" customHeight="1">
      <c r="A93" s="58" t="s">
        <v>302</v>
      </c>
      <c r="B93" s="58" t="str">
        <f>IFERROR(VLOOKUP($A93,[5]실험의뢰_장진영!$A:$M,3,0),"")</f>
        <v>라보에이치 모발강화 트리트먼트 300ml 60파이 장식</v>
      </c>
      <c r="C93" s="58" t="str">
        <f>IFERROR(VLOOKUP($A93,[5]실험의뢰_장진영!$A:$M,9,0),"")</f>
        <v>M241335-01</v>
      </c>
      <c r="D93" s="69" t="str">
        <f>IFERROR(VLOOKUP($A93,[5]실험의뢰_장진영!$A:$M,7,0),"")</f>
        <v>SI1560</v>
      </c>
      <c r="E93" s="1">
        <v>45663</v>
      </c>
      <c r="F93" t="s">
        <v>114</v>
      </c>
      <c r="G93" s="1" t="s">
        <v>157</v>
      </c>
      <c r="H93" t="s">
        <v>307</v>
      </c>
      <c r="I93" s="3">
        <v>5</v>
      </c>
      <c r="J93" s="46">
        <v>8</v>
      </c>
      <c r="K93" s="74">
        <v>1108</v>
      </c>
      <c r="L93" s="46" t="str">
        <f>실험지시[[#This Row],[금형코드]]</f>
        <v>M241335-01</v>
      </c>
      <c r="M93" s="60">
        <f>IFERROR(VLOOKUP($A93,[5]실험의뢰_장진영!$A:$M,5,0),"")</f>
        <v>150</v>
      </c>
      <c r="N93" s="58" t="str">
        <f>IFERROR(VLOOKUP($A93,[5]실험의뢰_장진영!$A:$M,4,0),"")</f>
        <v>색상 실험</v>
      </c>
      <c r="O93" s="59">
        <f>IFERROR(VLOOKUP($A93,[5]실험의뢰_장진영!$A:$M,6,0),"")</f>
        <v>45646</v>
      </c>
      <c r="P93" s="58">
        <f>IFERROR(VLOOKUP($A93,[5]실험의뢰_장진영!$A:$M,10,0),"")</f>
        <v>0</v>
      </c>
      <c r="Q93" s="58" t="str">
        <f>IFERROR(VLOOKUP($A93,[5]실험의뢰_장진영!$A:$M,11,0),"")</f>
        <v>DJ241230-03</v>
      </c>
      <c r="R93" s="58">
        <f>IFERROR(VLOOKUP($A93,[5]실험의뢰_장진영!$A:$M,12,0),"")</f>
        <v>5</v>
      </c>
      <c r="S93" s="58">
        <f>IFERROR(VLOOKUP($A93,[5]실험의뢰_장진영!$A:$M,13,0),"")</f>
        <v>0</v>
      </c>
      <c r="T93" s="58"/>
    </row>
    <row r="94" spans="1:20" ht="30" customHeight="1">
      <c r="A94" s="58" t="s">
        <v>303</v>
      </c>
      <c r="B94" s="58" t="str">
        <f>IFERROR(VLOOKUP($A94,[5]실험의뢰_장진영!$A:$M,3,0),"")</f>
        <v>아이오페 스템Ⅲ 클리니컬 리커버리 크림 50ML(25) 외캡 사출</v>
      </c>
      <c r="C94" s="58" t="str">
        <f>IFERROR(VLOOKUP($A94,[5]실험의뢰_장진영!$A:$M,9,0),"")</f>
        <v>M241342_01</v>
      </c>
      <c r="D94" s="69" t="str">
        <f>IFERROR(VLOOKUP($A94,[5]실험의뢰_장진영!$A:$M,7,0),"")</f>
        <v>SI1541</v>
      </c>
      <c r="E94" s="1">
        <v>45664</v>
      </c>
      <c r="F94" t="s">
        <v>74</v>
      </c>
      <c r="G94" t="s">
        <v>75</v>
      </c>
      <c r="I94" s="3"/>
      <c r="J94" s="46">
        <v>8</v>
      </c>
      <c r="K94" s="74">
        <v>1212</v>
      </c>
      <c r="L94" s="46" t="str">
        <f>실험지시[[#This Row],[금형코드]]</f>
        <v>M241342_01</v>
      </c>
      <c r="M94" s="60">
        <f>IFERROR(VLOOKUP($A94,[5]실험의뢰_장진영!$A:$M,5,0),"")</f>
        <v>150</v>
      </c>
      <c r="N94" s="58" t="str">
        <f>IFERROR(VLOOKUP($A94,[5]실험의뢰_장진영!$A:$M,4,0),"")</f>
        <v>내측 구배 확인 필요, 추출 시 스크래치 발생여부 확인 요망, 외관양호 시 150개 사출요청</v>
      </c>
      <c r="O94" s="59">
        <f>IFERROR(VLOOKUP($A94,[5]실험의뢰_장진영!$A:$M,6,0),"")</f>
        <v>45664</v>
      </c>
      <c r="P94" s="58" t="str">
        <f>IFERROR(VLOOKUP($A94,[5]실험의뢰_장진영!$A:$M,10,0),"")</f>
        <v>PETG (SK케미칼 PN200)</v>
      </c>
      <c r="Q94" s="58">
        <f>IFERROR(VLOOKUP($A94,[5]실험의뢰_장진영!$A:$M,11,0),"")</f>
        <v>0</v>
      </c>
      <c r="R94" s="58">
        <f>IFERROR(VLOOKUP($A94,[5]실험의뢰_장진영!$A:$M,12,0),"")</f>
        <v>0</v>
      </c>
      <c r="S94" s="58">
        <f>IFERROR(VLOOKUP($A94,[5]실험의뢰_장진영!$A:$M,13,0),"")</f>
        <v>0</v>
      </c>
      <c r="T94" s="58"/>
    </row>
    <row r="95" spans="1:20" ht="30" customHeight="1">
      <c r="A95" s="58" t="s">
        <v>304</v>
      </c>
      <c r="B95" s="58" t="str">
        <f>IFERROR(VLOOKUP($A95,[5]실험의뢰_장진영!$A:$M,3,0),"")</f>
        <v>아이오페 스템Ⅲ 클리니컬 리커버리 크림 50ML(25) 캡장식 사출</v>
      </c>
      <c r="C95" s="58" t="str">
        <f>IFERROR(VLOOKUP($A95,[5]실험의뢰_장진영!$A:$M,9,0),"")</f>
        <v>M241344_01</v>
      </c>
      <c r="D95" s="69" t="str">
        <f>IFERROR(VLOOKUP($A95,[5]실험의뢰_장진영!$A:$M,7,0),"")</f>
        <v>SI1540</v>
      </c>
      <c r="E95" s="1">
        <v>45664</v>
      </c>
      <c r="F95" t="s">
        <v>74</v>
      </c>
      <c r="G95" s="1" t="s">
        <v>164</v>
      </c>
      <c r="I95" s="3"/>
      <c r="J95" s="46">
        <v>8</v>
      </c>
      <c r="K95" s="74">
        <v>1118</v>
      </c>
      <c r="L95" s="46" t="str">
        <f>실험지시[[#This Row],[금형코드]]</f>
        <v>M241344_01</v>
      </c>
      <c r="M95" s="60">
        <f>IFERROR(VLOOKUP($A95,[5]실험의뢰_장진영!$A:$M,5,0),"")</f>
        <v>200</v>
      </c>
      <c r="N95" s="58" t="str">
        <f>IFERROR(VLOOKUP($A95,[5]실험의뢰_장진영!$A:$M,4,0),"")</f>
        <v>외경 0.3 키움, 지나번보다 즉시규격 0.3 큰지 확인 요망, 증착loss감안해서 수량 요청</v>
      </c>
      <c r="O95" s="59">
        <f>IFERROR(VLOOKUP($A95,[5]실험의뢰_장진영!$A:$M,6,0),"")</f>
        <v>45664</v>
      </c>
      <c r="P95" s="58" t="str">
        <f>IFERROR(VLOOKUP($A95,[5]실험의뢰_장진영!$A:$M,10,0),"")</f>
        <v>PETG (SK케미칼 PN200)</v>
      </c>
      <c r="Q95" s="58" t="str">
        <f>IFERROR(VLOOKUP($A95,[5]실험의뢰_장진영!$A:$M,11,0),"")</f>
        <v>증착사양</v>
      </c>
      <c r="R95" s="58">
        <f>IFERROR(VLOOKUP($A95,[5]실험의뢰_장진영!$A:$M,12,0),"")</f>
        <v>0</v>
      </c>
      <c r="S95" s="58">
        <f>IFERROR(VLOOKUP($A95,[5]실험의뢰_장진영!$A:$M,13,0),"")</f>
        <v>0</v>
      </c>
      <c r="T95" s="58"/>
    </row>
    <row r="96" spans="1:20" ht="30" customHeight="1">
      <c r="A96" s="58" t="s">
        <v>313</v>
      </c>
      <c r="B96" s="58" t="str">
        <f>IFERROR(VLOOKUP($A96,[5]실험의뢰_장진영!$A:$M,3,0),"")</f>
        <v/>
      </c>
      <c r="C96" s="58" t="str">
        <f>IFERROR(VLOOKUP($A96,[5]실험의뢰_장진영!$A:$M,9,0),"")</f>
        <v/>
      </c>
      <c r="D96" s="69" t="str">
        <f>IFERROR(VLOOKUP($A96,[5]실험의뢰_장진영!$A:$M,7,0),"")</f>
        <v/>
      </c>
      <c r="E96" s="1">
        <v>45665</v>
      </c>
      <c r="F96" t="s">
        <v>74</v>
      </c>
      <c r="G96" s="1" t="s">
        <v>305</v>
      </c>
      <c r="H96" t="s">
        <v>306</v>
      </c>
      <c r="I96" s="3">
        <v>3</v>
      </c>
      <c r="J96" s="46">
        <v>8</v>
      </c>
      <c r="L96" s="46" t="str">
        <f>실험지시[[#This Row],[금형코드]]</f>
        <v/>
      </c>
      <c r="M96" s="60" t="str">
        <f>IFERROR(VLOOKUP($A96,[5]실험의뢰_장진영!$A:$M,5,0),"")</f>
        <v/>
      </c>
      <c r="N96" s="58" t="str">
        <f>IFERROR(VLOOKUP($A96,[5]실험의뢰_장진영!$A:$M,4,0),"")</f>
        <v/>
      </c>
      <c r="O96" s="59" t="str">
        <f>IFERROR(VLOOKUP($A96,[5]실험의뢰_장진영!$A:$M,6,0),"")</f>
        <v/>
      </c>
      <c r="P96" s="58" t="str">
        <f>IFERROR(VLOOKUP($A96,[5]실험의뢰_장진영!$A:$M,10,0),"")</f>
        <v/>
      </c>
      <c r="Q96" s="58" t="str">
        <f>IFERROR(VLOOKUP($A96,[5]실험의뢰_장진영!$A:$M,11,0),"")</f>
        <v/>
      </c>
      <c r="R96" s="58" t="str">
        <f>IFERROR(VLOOKUP($A96,[5]실험의뢰_장진영!$A:$M,12,0),"")</f>
        <v/>
      </c>
      <c r="S96" s="58" t="str">
        <f>IFERROR(VLOOKUP($A96,[5]실험의뢰_장진영!$A:$M,13,0),"")</f>
        <v/>
      </c>
      <c r="T96" s="58"/>
    </row>
    <row r="97" spans="1:20" ht="30" customHeight="1">
      <c r="A97" s="58" t="s">
        <v>308</v>
      </c>
      <c r="B97" s="58" t="str">
        <f>IFERROR(VLOOKUP($A97,[5]실험의뢰_장진영!$A:$M,3,0),"")</f>
        <v>설화수 자음생크림 퍼펙팅 리치 견 10ml 외캡 (25AD,  7556469)</v>
      </c>
      <c r="C97" s="58">
        <f>IFERROR(VLOOKUP($A97,[5]실험의뢰_장진영!$A:$M,9,0),"")</f>
        <v>0</v>
      </c>
      <c r="D97" s="69" t="str">
        <f>IFERROR(VLOOKUP($A97,[5]실험의뢰_장진영!$A:$M,7,0),"")</f>
        <v>SI1556</v>
      </c>
      <c r="E97" s="1">
        <v>45666</v>
      </c>
      <c r="F97" t="s">
        <v>177</v>
      </c>
      <c r="G97" s="1" t="s">
        <v>309</v>
      </c>
      <c r="I97" s="3"/>
      <c r="J97" s="46">
        <v>15</v>
      </c>
      <c r="L97" s="46">
        <f>실험지시[[#This Row],[금형코드]]</f>
        <v>0</v>
      </c>
      <c r="M97" s="60">
        <f>IFERROR(VLOOKUP($A97,[5]실험의뢰_장진영!$A:$M,5,0),"")</f>
        <v>100</v>
      </c>
      <c r="N97" s="58" t="str">
        <f>IFERROR(VLOOKUP($A97,[5]실험의뢰_장진영!$A:$M,4,0),"")</f>
        <v>PCR 적용을 위한 테스트 -&gt; 장업 테스트 결과 보고 진행 예정</v>
      </c>
      <c r="O97" s="59">
        <f>IFERROR(VLOOKUP($A97,[5]실험의뢰_장진영!$A:$M,6,0),"")</f>
        <v>0</v>
      </c>
      <c r="P97" s="58" t="str">
        <f>IFERROR(VLOOKUP($A97,[5]실험의뢰_장진영!$A:$M,10,0),"")</f>
        <v>PCR ABS (롯데케미칼 GC-0755 50%)</v>
      </c>
      <c r="Q97" s="58" t="str">
        <f>IFERROR(VLOOKUP($A97,[5]실험의뢰_장진영!$A:$M,11,0),"")</f>
        <v>내츄럴</v>
      </c>
      <c r="R97" s="58">
        <f>IFERROR(VLOOKUP($A97,[5]실험의뢰_장진영!$A:$M,12,0),"")</f>
        <v>0</v>
      </c>
      <c r="S97" s="58">
        <f>IFERROR(VLOOKUP($A97,[5]실험의뢰_장진영!$A:$M,13,0),"")</f>
        <v>0</v>
      </c>
      <c r="T97" s="58"/>
    </row>
    <row r="98" spans="1:20" ht="30" customHeight="1">
      <c r="A98" s="58" t="s">
        <v>310</v>
      </c>
      <c r="B98" s="58" t="str">
        <f>IFERROR(VLOOKUP($A98,[5]실험의뢰_장진영!$A:$M,3,0),"")</f>
        <v>(수출)라네즈 유스콜라겐드링크 25ml*30EA 패키지변경 25AD 캡</v>
      </c>
      <c r="C98" s="58" t="str">
        <f>IFERROR(VLOOKUP($A98,[5]실험의뢰_장진영!$A:$M,9,0),"")</f>
        <v>M231323_04</v>
      </c>
      <c r="D98" s="69" t="str">
        <f>IFERROR(VLOOKUP($A98,[5]실험의뢰_장진영!$A:$M,7,0),"")</f>
        <v>SI1569</v>
      </c>
      <c r="E98" s="1">
        <v>45666</v>
      </c>
      <c r="F98" t="s">
        <v>74</v>
      </c>
      <c r="G98" s="1" t="s">
        <v>311</v>
      </c>
      <c r="H98" t="s">
        <v>312</v>
      </c>
      <c r="I98" s="3">
        <v>5</v>
      </c>
      <c r="J98" s="46">
        <v>11</v>
      </c>
      <c r="L98" s="46" t="str">
        <f>실험지시[[#This Row],[금형코드]]</f>
        <v>M231323_04</v>
      </c>
      <c r="M98" s="60">
        <f>IFERROR(VLOOKUP($A98,[5]실험의뢰_장진영!$A:$M,5,0),"")</f>
        <v>0</v>
      </c>
      <c r="N98" s="58" t="str">
        <f>IFERROR(VLOOKUP($A98,[5]실험의뢰_장진영!$A:$M,4,0),"")</f>
        <v>색상 실험</v>
      </c>
      <c r="O98" s="59">
        <f>IFERROR(VLOOKUP($A98,[5]실험의뢰_장진영!$A:$M,6,0),"")</f>
        <v>0</v>
      </c>
      <c r="P98" s="58" t="str">
        <f>IFERROR(VLOOKUP($A98,[5]실험의뢰_장진영!$A:$M,10,0),"")</f>
        <v>HDPE (롯데케미칼 2200J)</v>
      </c>
      <c r="Q98" s="58">
        <f>IFERROR(VLOOKUP($A98,[5]실험의뢰_장진영!$A:$M,11,0),"")</f>
        <v>0</v>
      </c>
      <c r="R98" s="58">
        <f>IFERROR(VLOOKUP($A98,[5]실험의뢰_장진영!$A:$M,12,0),"")</f>
        <v>0</v>
      </c>
      <c r="S98" s="58">
        <f>IFERROR(VLOOKUP($A98,[5]실험의뢰_장진영!$A:$M,13,0),"")</f>
        <v>0</v>
      </c>
      <c r="T98" s="58"/>
    </row>
    <row r="99" spans="1:20" ht="30" customHeight="1">
      <c r="A99" s="58" t="s">
        <v>314</v>
      </c>
      <c r="B99" s="58" t="str">
        <f>IFERROR(VLOOKUP($A99,[5]실험의뢰_장진영!$A:$M,3,0),"")</f>
        <v>설화수 탄력영양크림 EX 견5ML (25AD) 용기 사출</v>
      </c>
      <c r="C99" s="58" t="str">
        <f>IFERROR(VLOOKUP($A99,[5]실험의뢰_장진영!$A:$M,9,0),"")</f>
        <v>M201153</v>
      </c>
      <c r="D99" s="69" t="str">
        <f>IFERROR(VLOOKUP($A99,[5]실험의뢰_장진영!$A:$M,7,0),"")</f>
        <v>SI1578</v>
      </c>
      <c r="E99" s="1">
        <v>45667</v>
      </c>
      <c r="F99" t="s">
        <v>315</v>
      </c>
      <c r="G99" s="1" t="s">
        <v>157</v>
      </c>
      <c r="H99" t="s">
        <v>316</v>
      </c>
      <c r="I99" s="3">
        <v>3</v>
      </c>
      <c r="J99" s="46">
        <v>33</v>
      </c>
      <c r="L99" s="46" t="str">
        <f>실험지시[[#This Row],[금형코드]]</f>
        <v>M201153</v>
      </c>
      <c r="M99" s="60">
        <f>IFERROR(VLOOKUP($A99,[5]실험의뢰_장진영!$A:$M,5,0),"")</f>
        <v>0</v>
      </c>
      <c r="N99" s="58" t="str">
        <f>IFERROR(VLOOKUP($A99,[5]실험의뢰_장진영!$A:$M,4,0),"")</f>
        <v>색상 실험</v>
      </c>
      <c r="O99" s="59">
        <f>IFERROR(VLOOKUP($A99,[5]실험의뢰_장진영!$A:$M,6,0),"")</f>
        <v>0</v>
      </c>
      <c r="P99" s="58">
        <f>IFERROR(VLOOKUP($A99,[5]실험의뢰_장진영!$A:$M,10,0),"")</f>
        <v>0</v>
      </c>
      <c r="Q99" s="58">
        <f>IFERROR(VLOOKUP($A99,[5]실험의뢰_장진영!$A:$M,11,0),"")</f>
        <v>0</v>
      </c>
      <c r="R99" s="58">
        <f>IFERROR(VLOOKUP($A99,[5]실험의뢰_장진영!$A:$M,12,0),"")</f>
        <v>0</v>
      </c>
      <c r="S99" s="58">
        <f>IFERROR(VLOOKUP($A99,[5]실험의뢰_장진영!$A:$M,13,0),"")</f>
        <v>0</v>
      </c>
      <c r="T99" s="58"/>
    </row>
    <row r="100" spans="1:20" ht="30" customHeight="1">
      <c r="A100" s="58" t="s">
        <v>318</v>
      </c>
      <c r="B100" s="58" t="str">
        <f>IFERROR(VLOOKUP($A100,[5]실험의뢰_장진영!$A:$M,3,0),"")</f>
        <v>설화수 자음수 퍼펙팅 EX 견35ML (25 AD)</v>
      </c>
      <c r="C100" s="58" t="str">
        <f>IFERROR(VLOOKUP($A100,[5]실험의뢰_장진영!$A:$M,9,0),"")</f>
        <v>M201128</v>
      </c>
      <c r="D100" s="69" t="str">
        <f>IFERROR(VLOOKUP($A100,[5]실험의뢰_장진영!$A:$M,7,0),"")</f>
        <v>SI1581</v>
      </c>
      <c r="E100" s="1">
        <v>45671</v>
      </c>
      <c r="F100" t="s">
        <v>177</v>
      </c>
      <c r="G100" s="1" t="s">
        <v>157</v>
      </c>
      <c r="H100" t="s">
        <v>317</v>
      </c>
      <c r="I100" s="3">
        <v>4</v>
      </c>
      <c r="J100" s="46">
        <v>15</v>
      </c>
      <c r="L100" s="46" t="str">
        <f>실험지시[[#This Row],[금형코드]]</f>
        <v>M201128</v>
      </c>
      <c r="M100" s="60">
        <f>IFERROR(VLOOKUP($A100,[5]실험의뢰_장진영!$A:$M,5,0),"")</f>
        <v>0</v>
      </c>
      <c r="N100" s="58" t="str">
        <f>IFERROR(VLOOKUP($A100,[5]실험의뢰_장진영!$A:$M,4,0),"")</f>
        <v>색상 실험</v>
      </c>
      <c r="O100" s="59">
        <f>IFERROR(VLOOKUP($A100,[5]실험의뢰_장진영!$A:$M,6,0),"")</f>
        <v>0</v>
      </c>
      <c r="P100" s="58">
        <f>IFERROR(VLOOKUP($A100,[5]실험의뢰_장진영!$A:$M,10,0),"")</f>
        <v>0</v>
      </c>
      <c r="Q100" s="58">
        <f>IFERROR(VLOOKUP($A100,[5]실험의뢰_장진영!$A:$M,11,0),"")</f>
        <v>0</v>
      </c>
      <c r="R100" s="58">
        <f>IFERROR(VLOOKUP($A100,[5]실험의뢰_장진영!$A:$M,12,0),"")</f>
        <v>0</v>
      </c>
      <c r="S100" s="58">
        <f>IFERROR(VLOOKUP($A100,[5]실험의뢰_장진영!$A:$M,13,0),"")</f>
        <v>0</v>
      </c>
      <c r="T100" s="58"/>
    </row>
    <row r="101" spans="1:20" ht="30" customHeight="1">
      <c r="A101" s="58" t="s">
        <v>319</v>
      </c>
      <c r="B101" s="58" t="str">
        <f>IFERROR(VLOOKUP($A101,[5]실험의뢰_장진영!$A:$M,3,0),"")</f>
        <v>설화수 탄력영양크림 EX 견5ML (25AD) 캡</v>
      </c>
      <c r="C101" s="58" t="str">
        <f>IFERROR(VLOOKUP($A101,[5]실험의뢰_장진영!$A:$M,9,0),"")</f>
        <v>M201150</v>
      </c>
      <c r="D101" s="69" t="str">
        <f>IFERROR(VLOOKUP($A101,[5]실험의뢰_장진영!$A:$M,7,0),"")</f>
        <v>SI1577</v>
      </c>
      <c r="E101" s="1">
        <v>45670</v>
      </c>
      <c r="F101" t="s">
        <v>320</v>
      </c>
      <c r="G101" s="1" t="s">
        <v>321</v>
      </c>
      <c r="H101" t="s">
        <v>317</v>
      </c>
      <c r="I101" s="3">
        <v>4</v>
      </c>
      <c r="J101" s="46">
        <v>32</v>
      </c>
      <c r="L101" s="46" t="str">
        <f>실험지시[[#This Row],[금형코드]]</f>
        <v>M201150</v>
      </c>
      <c r="M101" s="60">
        <f>IFERROR(VLOOKUP($A101,[5]실험의뢰_장진영!$A:$M,5,0),"")</f>
        <v>0</v>
      </c>
      <c r="N101" s="58" t="str">
        <f>IFERROR(VLOOKUP($A101,[5]실험의뢰_장진영!$A:$M,4,0),"")</f>
        <v>색상 실험</v>
      </c>
      <c r="O101" s="59">
        <f>IFERROR(VLOOKUP($A101,[5]실험의뢰_장진영!$A:$M,6,0),"")</f>
        <v>0</v>
      </c>
      <c r="P101" s="58">
        <f>IFERROR(VLOOKUP($A101,[5]실험의뢰_장진영!$A:$M,10,0),"")</f>
        <v>0</v>
      </c>
      <c r="Q101" s="58">
        <f>IFERROR(VLOOKUP($A101,[5]실험의뢰_장진영!$A:$M,11,0),"")</f>
        <v>0</v>
      </c>
      <c r="R101" s="58">
        <f>IFERROR(VLOOKUP($A101,[5]실험의뢰_장진영!$A:$M,12,0),"")</f>
        <v>0</v>
      </c>
      <c r="S101" s="58">
        <f>IFERROR(VLOOKUP($A101,[5]실험의뢰_장진영!$A:$M,13,0),"")</f>
        <v>0</v>
      </c>
      <c r="T101" s="58"/>
    </row>
    <row r="102" spans="1:20" ht="30" customHeight="1">
      <c r="A102" s="58" t="s">
        <v>322</v>
      </c>
      <c r="B102" s="58" t="str">
        <f>IFERROR(VLOOKUP($A102,[5]실험의뢰_장진영!$A:$M,3,0),"")</f>
        <v>설화수 자음수 퍼펙팅 EX 시공품 5ML (25 AD)</v>
      </c>
      <c r="C102" s="58" t="str">
        <f>IFERROR(VLOOKUP($A102,[5]실험의뢰_장진영!$A:$M,9,0),"")</f>
        <v>A100030</v>
      </c>
      <c r="D102" s="69" t="str">
        <f>IFERROR(VLOOKUP($A102,[5]실험의뢰_장진영!$A:$M,7,0),"")</f>
        <v>SI1579</v>
      </c>
      <c r="E102" s="1">
        <v>45671</v>
      </c>
      <c r="F102" t="s">
        <v>161</v>
      </c>
      <c r="G102" s="1" t="s">
        <v>324</v>
      </c>
      <c r="H102" t="s">
        <v>317</v>
      </c>
      <c r="I102" s="3">
        <v>6</v>
      </c>
      <c r="J102" s="46" t="s">
        <v>323</v>
      </c>
      <c r="L102" s="46" t="str">
        <f>실험지시[[#This Row],[금형코드]]</f>
        <v>A100030</v>
      </c>
      <c r="M102" s="60">
        <f>IFERROR(VLOOKUP($A102,[5]실험의뢰_장진영!$A:$M,5,0),"")</f>
        <v>0</v>
      </c>
      <c r="N102" s="58" t="str">
        <f>IFERROR(VLOOKUP($A102,[5]실험의뢰_장진영!$A:$M,4,0),"")</f>
        <v>색상 실험</v>
      </c>
      <c r="O102" s="59">
        <f>IFERROR(VLOOKUP($A102,[5]실험의뢰_장진영!$A:$M,6,0),"")</f>
        <v>0</v>
      </c>
      <c r="P102" s="58">
        <f>IFERROR(VLOOKUP($A102,[5]실험의뢰_장진영!$A:$M,10,0),"")</f>
        <v>0</v>
      </c>
      <c r="Q102" s="58">
        <f>IFERROR(VLOOKUP($A102,[5]실험의뢰_장진영!$A:$M,11,0),"")</f>
        <v>0</v>
      </c>
      <c r="R102" s="58">
        <f>IFERROR(VLOOKUP($A102,[5]실험의뢰_장진영!$A:$M,12,0),"")</f>
        <v>0</v>
      </c>
      <c r="S102" s="58">
        <f>IFERROR(VLOOKUP($A102,[5]실험의뢰_장진영!$A:$M,13,0),"")</f>
        <v>0</v>
      </c>
      <c r="T102" s="58"/>
    </row>
    <row r="103" spans="1:20" ht="30" customHeight="1">
      <c r="A103" s="58" t="s">
        <v>325</v>
      </c>
      <c r="B103" s="58" t="str">
        <f>IFERROR(VLOOKUP($A103,[5]실험의뢰_장진영!$A:$M,3,0),"")</f>
        <v>아이오페 스템Ⅲ 클리니컬 리커버리 크림 50ML(25) 내용기</v>
      </c>
      <c r="C103" s="58" t="str">
        <f>IFERROR(VLOOKUP($A103,[5]실험의뢰_장진영!$A:$M,9,0),"")</f>
        <v>M241341_01</v>
      </c>
      <c r="D103" s="69" t="str">
        <f>IFERROR(VLOOKUP($A103,[5]실험의뢰_장진영!$A:$M,7,0),"")</f>
        <v>SI1543</v>
      </c>
      <c r="E103" s="1">
        <v>45673</v>
      </c>
      <c r="F103" t="s">
        <v>114</v>
      </c>
      <c r="G103" s="1" t="s">
        <v>157</v>
      </c>
      <c r="H103" t="s">
        <v>326</v>
      </c>
      <c r="I103" s="3" t="s">
        <v>327</v>
      </c>
      <c r="J103" s="46">
        <v>14</v>
      </c>
      <c r="L103" s="46" t="str">
        <f>실험지시[[#This Row],[금형코드]]</f>
        <v>M241341_01</v>
      </c>
      <c r="M103" s="60">
        <f>IFERROR(VLOOKUP($A103,[5]실험의뢰_장진영!$A:$M,5,0),"")</f>
        <v>300</v>
      </c>
      <c r="N103" s="58" t="str">
        <f>IFERROR(VLOOKUP($A103,[5]실험의뢰_장진영!$A:$M,4,0),"")</f>
        <v>색상 실험(메탈코팅 나라와 태가에 나눠 보낼 예정입니다)</v>
      </c>
      <c r="O103" s="59">
        <f>IFERROR(VLOOKUP($A103,[5]실험의뢰_장진영!$A:$M,6,0),"")</f>
        <v>45673</v>
      </c>
      <c r="P103" s="58" t="str">
        <f>IFERROR(VLOOKUP($A103,[5]실험의뢰_장진영!$A:$M,10,0),"")</f>
        <v>PP (롯데케미칼 J-560S)</v>
      </c>
      <c r="Q103" s="58" t="str">
        <f>IFERROR(VLOOKUP($A103,[5]실험의뢰_장진영!$A:$M,11,0),"")</f>
        <v>DJ250113-5</v>
      </c>
      <c r="R103" s="58">
        <f>IFERROR(VLOOKUP($A103,[5]실험의뢰_장진영!$A:$M,12,0),"")</f>
        <v>5</v>
      </c>
      <c r="S103" s="58">
        <f>IFERROR(VLOOKUP($A103,[5]실험의뢰_장진영!$A:$M,13,0),"")</f>
        <v>0</v>
      </c>
      <c r="T103" s="58"/>
    </row>
    <row r="104" spans="1:20" ht="30" customHeight="1">
      <c r="A104" s="58" t="s">
        <v>328</v>
      </c>
      <c r="B104" s="58" t="str">
        <f>IFERROR(VLOOKUP($A104,[5]실험의뢰_장진영!$A:$M,3,0),"")</f>
        <v>미장센 헬로 젤리 팡팡 상용기(글로우쿠션 금형)</v>
      </c>
      <c r="C104" s="58" t="str">
        <f>IFERROR(VLOOKUP($A104,[5]실험의뢰_장진영!$A:$M,9,0),"")</f>
        <v>M241190_02</v>
      </c>
      <c r="D104" s="69" t="str">
        <f>IFERROR(VLOOKUP($A104,[5]실험의뢰_장진영!$A:$M,7,0),"")</f>
        <v>SI1582</v>
      </c>
      <c r="E104" s="1">
        <v>45674</v>
      </c>
      <c r="F104" t="s">
        <v>114</v>
      </c>
      <c r="G104" s="1" t="s">
        <v>164</v>
      </c>
      <c r="H104" t="s">
        <v>332</v>
      </c>
      <c r="I104" s="3">
        <v>5</v>
      </c>
      <c r="J104" s="46">
        <v>14</v>
      </c>
      <c r="L104" s="46" t="str">
        <f>실험지시[[#This Row],[금형코드]]</f>
        <v>M241190_02</v>
      </c>
      <c r="M104" s="60">
        <f>IFERROR(VLOOKUP($A104,[5]실험의뢰_장진영!$A:$M,5,0),"")</f>
        <v>300</v>
      </c>
      <c r="N104" s="58" t="str">
        <f>IFERROR(VLOOKUP($A104,[5]실험의뢰_장진영!$A:$M,4,0),"")</f>
        <v>색상 실험(상하용기 무광 코팅, 인쇄있습니다)</v>
      </c>
      <c r="O104" s="59">
        <f>IFERROR(VLOOKUP($A104,[5]실험의뢰_장진영!$A:$M,6,0),"")</f>
        <v>45674</v>
      </c>
      <c r="P104" s="58" t="str">
        <f>IFERROR(VLOOKUP($A104,[5]실험의뢰_장진영!$A:$M,10,0),"")</f>
        <v>ABS (롯데첨단소재 MP-0670)</v>
      </c>
      <c r="Q104" s="58">
        <f>IFERROR(VLOOKUP($A104,[5]실험의뢰_장진영!$A:$M,11,0),"")</f>
        <v>0</v>
      </c>
      <c r="R104" s="58">
        <f>IFERROR(VLOOKUP($A104,[5]실험의뢰_장진영!$A:$M,12,0),"")</f>
        <v>0</v>
      </c>
      <c r="S104" s="58">
        <f>IFERROR(VLOOKUP($A104,[5]실험의뢰_장진영!$A:$M,13,0),"")</f>
        <v>0</v>
      </c>
      <c r="T104" s="58"/>
    </row>
    <row r="105" spans="1:20" ht="30" customHeight="1">
      <c r="A105" s="58" t="s">
        <v>329</v>
      </c>
      <c r="B105" s="58" t="str">
        <f>IFERROR(VLOOKUP($A105,[5]실험의뢰_장진영!$A:$M,3,0),"")</f>
        <v>미장센 헬로 젤리 팡팡 하용기</v>
      </c>
      <c r="C105" s="58" t="str">
        <f>IFERROR(VLOOKUP($A105,[5]실험의뢰_장진영!$A:$M,9,0),"")</f>
        <v>M241191_02</v>
      </c>
      <c r="D105" s="69" t="str">
        <f>IFERROR(VLOOKUP($A105,[5]실험의뢰_장진영!$A:$M,7,0),"")</f>
        <v>SI1583</v>
      </c>
      <c r="E105" s="1">
        <v>45674</v>
      </c>
      <c r="F105" t="s">
        <v>114</v>
      </c>
      <c r="G105" s="1" t="s">
        <v>164</v>
      </c>
      <c r="H105" t="s">
        <v>332</v>
      </c>
      <c r="I105" s="3">
        <v>5</v>
      </c>
      <c r="J105" s="46">
        <v>14</v>
      </c>
      <c r="L105" s="46" t="str">
        <f>실험지시[[#This Row],[금형코드]]</f>
        <v>M241191_02</v>
      </c>
      <c r="M105" s="60">
        <f>IFERROR(VLOOKUP($A105,[5]실험의뢰_장진영!$A:$M,5,0),"")</f>
        <v>200</v>
      </c>
      <c r="N105" s="58" t="str">
        <f>IFERROR(VLOOKUP($A105,[5]실험의뢰_장진영!$A:$M,4,0),"")</f>
        <v>색상 실험(무광 코팅)</v>
      </c>
      <c r="O105" s="59">
        <f>IFERROR(VLOOKUP($A105,[5]실험의뢰_장진영!$A:$M,6,0),"")</f>
        <v>45674</v>
      </c>
      <c r="P105" s="58" t="str">
        <f>IFERROR(VLOOKUP($A105,[5]실험의뢰_장진영!$A:$M,10,0),"")</f>
        <v>ABS (롯데첨단소재 MP-0670)</v>
      </c>
      <c r="Q105" s="58">
        <f>IFERROR(VLOOKUP($A105,[5]실험의뢰_장진영!$A:$M,11,0),"")</f>
        <v>0</v>
      </c>
      <c r="R105" s="58">
        <f>IFERROR(VLOOKUP($A105,[5]실험의뢰_장진영!$A:$M,12,0),"")</f>
        <v>0</v>
      </c>
      <c r="S105" s="58">
        <f>IFERROR(VLOOKUP($A105,[5]실험의뢰_장진영!$A:$M,13,0),"")</f>
        <v>0</v>
      </c>
      <c r="T105" s="58"/>
    </row>
    <row r="106" spans="1:20" ht="30" customHeight="1">
      <c r="A106" s="58" t="s">
        <v>330</v>
      </c>
      <c r="B106" s="58" t="str">
        <f>IFERROR(VLOOKUP($A106,[5]실험의뢰_장진영!$A:$M,3,0),"")</f>
        <v>미장센 헬로 젤리 팡팡 리필 상용기</v>
      </c>
      <c r="C106" s="58" t="str">
        <f>IFERROR(VLOOKUP($A106,[5]실험의뢰_장진영!$A:$M,9,0),"")</f>
        <v>M241192_02</v>
      </c>
      <c r="D106" s="69" t="str">
        <f>IFERROR(VLOOKUP($A106,[5]실험의뢰_장진영!$A:$M,7,0),"")</f>
        <v>SI1584</v>
      </c>
      <c r="E106" s="1"/>
      <c r="I106" s="3"/>
      <c r="L106" s="46" t="str">
        <f>실험지시[[#This Row],[금형코드]]</f>
        <v>M241192_02</v>
      </c>
      <c r="M106" s="60">
        <f>IFERROR(VLOOKUP($A106,[5]실험의뢰_장진영!$A:$M,5,0),"")</f>
        <v>100</v>
      </c>
      <c r="N106" s="58" t="str">
        <f>IFERROR(VLOOKUP($A106,[5]실험의뢰_장진영!$A:$M,4,0),"")</f>
        <v>색상 실험</v>
      </c>
      <c r="O106" s="59">
        <f>IFERROR(VLOOKUP($A106,[5]실험의뢰_장진영!$A:$M,6,0),"")</f>
        <v>45677</v>
      </c>
      <c r="P106" s="58" t="str">
        <f>IFERROR(VLOOKUP($A106,[5]실험의뢰_장진영!$A:$M,10,0),"")</f>
        <v>LDPE (한화케미칼 5321) (30%)
PP (롯데케미칼 J-560S) (70%)</v>
      </c>
      <c r="Q106" s="58">
        <f>IFERROR(VLOOKUP($A106,[5]실험의뢰_장진영!$A:$M,11,0),"")</f>
        <v>0</v>
      </c>
      <c r="R106" s="58">
        <f>IFERROR(VLOOKUP($A106,[5]실험의뢰_장진영!$A:$M,12,0),"")</f>
        <v>0</v>
      </c>
      <c r="S106" s="58">
        <f>IFERROR(VLOOKUP($A106,[5]실험의뢰_장진영!$A:$M,13,0),"")</f>
        <v>0</v>
      </c>
      <c r="T106" s="58"/>
    </row>
    <row r="107" spans="1:20" ht="30" customHeight="1">
      <c r="A107" s="58" t="s">
        <v>331</v>
      </c>
      <c r="B107" s="58" t="str">
        <f>IFERROR(VLOOKUP($A107,[5]실험의뢰_장진영!$A:$M,3,0),"")</f>
        <v>미장센 헬로 젤리 팡팡 리필 하용기</v>
      </c>
      <c r="C107" s="58" t="str">
        <f>IFERROR(VLOOKUP($A107,[5]실험의뢰_장진영!$A:$M,9,0),"")</f>
        <v>M241193_02</v>
      </c>
      <c r="D107" s="69" t="str">
        <f>IFERROR(VLOOKUP($A107,[5]실험의뢰_장진영!$A:$M,7,0),"")</f>
        <v>SI1585</v>
      </c>
      <c r="E107" s="1"/>
      <c r="I107" s="3"/>
      <c r="L107" s="46" t="str">
        <f>실험지시[[#This Row],[금형코드]]</f>
        <v>M241193_02</v>
      </c>
      <c r="M107" s="60">
        <f>IFERROR(VLOOKUP($A107,[5]실험의뢰_장진영!$A:$M,5,0),"")</f>
        <v>100</v>
      </c>
      <c r="N107" s="58" t="str">
        <f>IFERROR(VLOOKUP($A107,[5]실험의뢰_장진영!$A:$M,4,0),"")</f>
        <v>색상 실험</v>
      </c>
      <c r="O107" s="59">
        <f>IFERROR(VLOOKUP($A107,[5]실험의뢰_장진영!$A:$M,6,0),"")</f>
        <v>45677</v>
      </c>
      <c r="P107" s="58" t="str">
        <f>IFERROR(VLOOKUP($A107,[5]실험의뢰_장진영!$A:$M,10,0),"")</f>
        <v>PP (롯데케미칼 J-560S)</v>
      </c>
      <c r="Q107" s="58">
        <f>IFERROR(VLOOKUP($A107,[5]실험의뢰_장진영!$A:$M,11,0),"")</f>
        <v>0</v>
      </c>
      <c r="R107" s="58">
        <f>IFERROR(VLOOKUP($A107,[5]실험의뢰_장진영!$A:$M,12,0),"")</f>
        <v>0</v>
      </c>
      <c r="S107" s="58">
        <f>IFERROR(VLOOKUP($A107,[5]실험의뢰_장진영!$A:$M,13,0),"")</f>
        <v>0</v>
      </c>
      <c r="T107" s="58"/>
    </row>
    <row r="108" spans="1:20" ht="30" customHeight="1">
      <c r="A108" s="58" t="s">
        <v>333</v>
      </c>
      <c r="B108" s="58" t="str">
        <f>IFERROR(VLOOKUP($A108,[5]실험의뢰_장진영!$A:$M,3,0),"")</f>
        <v>라보에이치 모발강화 트리트먼트 200ml 50파이 원터치캡</v>
      </c>
      <c r="C108" s="58" t="str">
        <f>IFERROR(VLOOKUP($A108,[5]실험의뢰_장진영!$A:$M,9,0),"")</f>
        <v>M241332-01</v>
      </c>
      <c r="D108" s="69" t="str">
        <f>IFERROR(VLOOKUP($A108,[5]실험의뢰_장진영!$A:$M,7,0),"")</f>
        <v>SI1557</v>
      </c>
      <c r="E108" s="1">
        <v>45677</v>
      </c>
      <c r="F108" t="s">
        <v>161</v>
      </c>
      <c r="G108" s="1" t="s">
        <v>157</v>
      </c>
      <c r="H108" t="s">
        <v>307</v>
      </c>
      <c r="I108" s="3">
        <v>5</v>
      </c>
      <c r="J108" s="46">
        <v>29</v>
      </c>
      <c r="K108" s="74">
        <v>1227</v>
      </c>
      <c r="L108" s="46" t="str">
        <f>실험지시[[#This Row],[금형코드]]</f>
        <v>M241332-01</v>
      </c>
      <c r="M108" s="60">
        <f>IFERROR(VLOOKUP($A108,[5]실험의뢰_장진영!$A:$M,5,0),"")</f>
        <v>200</v>
      </c>
      <c r="N108" s="58" t="str">
        <f>IFERROR(VLOOKUP($A108,[5]실험의뢰_장진영!$A:$M,4,0),"")</f>
        <v>T2 시사출, 아이팩 제품</v>
      </c>
      <c r="O108" s="59">
        <f>IFERROR(VLOOKUP($A108,[5]실험의뢰_장진영!$A:$M,6,0),"")</f>
        <v>0</v>
      </c>
      <c r="P108" s="58" t="str">
        <f>IFERROR(VLOOKUP($A108,[5]실험의뢰_장진영!$A:$M,10,0),"")</f>
        <v>PP (롯데케미칼 J-560S)</v>
      </c>
      <c r="Q108" s="58">
        <f>IFERROR(VLOOKUP($A108,[5]실험의뢰_장진영!$A:$M,11,0),"")</f>
        <v>0</v>
      </c>
      <c r="R108" s="58">
        <f>IFERROR(VLOOKUP($A108,[5]실험의뢰_장진영!$A:$M,12,0),"")</f>
        <v>0</v>
      </c>
      <c r="S108" s="58">
        <f>IFERROR(VLOOKUP($A108,[5]실험의뢰_장진영!$A:$M,13,0),"")</f>
        <v>0</v>
      </c>
      <c r="T108" s="58"/>
    </row>
    <row r="109" spans="1:20" ht="30" customHeight="1">
      <c r="A109" s="58" t="s">
        <v>334</v>
      </c>
      <c r="B109" s="58" t="str">
        <f>IFERROR(VLOOKUP($A109,[5]실험의뢰_장진영!$A:$M,3,0),"")</f>
        <v>라보에이치 모발강화 트리트먼트 200ml 50파이 장식</v>
      </c>
      <c r="C109" s="58" t="str">
        <f>IFERROR(VLOOKUP($A109,[5]실험의뢰_장진영!$A:$M,9,0),"")</f>
        <v>M241331-01</v>
      </c>
      <c r="D109" s="69" t="str">
        <f>IFERROR(VLOOKUP($A109,[5]실험의뢰_장진영!$A:$M,7,0),"")</f>
        <v>SI1558</v>
      </c>
      <c r="E109" s="1">
        <v>45677</v>
      </c>
      <c r="F109" t="s">
        <v>161</v>
      </c>
      <c r="G109" s="1" t="s">
        <v>157</v>
      </c>
      <c r="H109" t="s">
        <v>307</v>
      </c>
      <c r="I109" s="3">
        <v>5</v>
      </c>
      <c r="J109" s="46">
        <v>8</v>
      </c>
      <c r="L109" s="46" t="str">
        <f>실험지시[[#This Row],[금형코드]]</f>
        <v>M241331-01</v>
      </c>
      <c r="M109" s="60">
        <f>IFERROR(VLOOKUP($A109,[5]실험의뢰_장진영!$A:$M,5,0),"")</f>
        <v>200</v>
      </c>
      <c r="N109" s="58" t="str">
        <f>IFERROR(VLOOKUP($A109,[5]실험의뢰_장진영!$A:$M,4,0),"")</f>
        <v>부식 확인 실험</v>
      </c>
      <c r="O109" s="59">
        <f>IFERROR(VLOOKUP($A109,[5]실험의뢰_장진영!$A:$M,6,0),"")</f>
        <v>0</v>
      </c>
      <c r="P109" s="58" t="str">
        <f>IFERROR(VLOOKUP($A109,[5]실험의뢰_장진영!$A:$M,10,0),"")</f>
        <v>PP (롯데케미칼 J-560S)</v>
      </c>
      <c r="Q109" s="58">
        <f>IFERROR(VLOOKUP($A109,[5]실험의뢰_장진영!$A:$M,11,0),"")</f>
        <v>0</v>
      </c>
      <c r="R109" s="58">
        <f>IFERROR(VLOOKUP($A109,[5]실험의뢰_장진영!$A:$M,12,0),"")</f>
        <v>0</v>
      </c>
      <c r="S109" s="58">
        <f>IFERROR(VLOOKUP($A109,[5]실험의뢰_장진영!$A:$M,13,0),"")</f>
        <v>0</v>
      </c>
      <c r="T109" s="58"/>
    </row>
    <row r="110" spans="1:20" ht="30" customHeight="1">
      <c r="A110" s="58" t="s">
        <v>335</v>
      </c>
      <c r="B110" s="58" t="str">
        <f>IFERROR(VLOOKUP($A110,[5]실험의뢰_장진영!$A:$M,3,0),"")</f>
        <v>라보에이치 모발강화 트리트먼트 300ml 60파이 장식</v>
      </c>
      <c r="C110" s="58" t="str">
        <f>IFERROR(VLOOKUP($A110,[5]실험의뢰_장진영!$A:$M,9,0),"")</f>
        <v>M241335-01</v>
      </c>
      <c r="D110" s="69" t="str">
        <f>IFERROR(VLOOKUP($A110,[5]실험의뢰_장진영!$A:$M,7,0),"")</f>
        <v>SI1560</v>
      </c>
      <c r="E110" s="1">
        <v>45677</v>
      </c>
      <c r="F110" t="s">
        <v>161</v>
      </c>
      <c r="G110" s="1" t="s">
        <v>157</v>
      </c>
      <c r="H110" t="s">
        <v>307</v>
      </c>
      <c r="I110" s="3">
        <v>5</v>
      </c>
      <c r="J110" s="46">
        <v>8</v>
      </c>
      <c r="K110" s="74">
        <v>1108</v>
      </c>
      <c r="L110" s="46" t="str">
        <f>실험지시[[#This Row],[금형코드]]</f>
        <v>M241335-01</v>
      </c>
      <c r="M110" s="60">
        <f>IFERROR(VLOOKUP($A110,[5]실험의뢰_장진영!$A:$M,5,0),"")</f>
        <v>100</v>
      </c>
      <c r="N110" s="58" t="str">
        <f>IFERROR(VLOOKUP($A110,[5]실험의뢰_장진영!$A:$M,4,0),"")</f>
        <v>부식 확인 실험</v>
      </c>
      <c r="O110" s="59">
        <f>IFERROR(VLOOKUP($A110,[5]실험의뢰_장진영!$A:$M,6,0),"")</f>
        <v>0</v>
      </c>
      <c r="P110" s="58">
        <f>IFERROR(VLOOKUP($A110,[5]실험의뢰_장진영!$A:$M,10,0),"")</f>
        <v>0</v>
      </c>
      <c r="Q110" s="58">
        <f>IFERROR(VLOOKUP($A110,[5]실험의뢰_장진영!$A:$M,11,0),"")</f>
        <v>0</v>
      </c>
      <c r="R110" s="58">
        <f>IFERROR(VLOOKUP($A110,[5]실험의뢰_장진영!$A:$M,12,0),"")</f>
        <v>0</v>
      </c>
      <c r="S110" s="58">
        <f>IFERROR(VLOOKUP($A110,[5]실험의뢰_장진영!$A:$M,13,0),"")</f>
        <v>0</v>
      </c>
      <c r="T110" s="58"/>
    </row>
    <row r="111" spans="1:20" ht="30" customHeight="1">
      <c r="A111" s="58" t="s">
        <v>336</v>
      </c>
      <c r="B111" s="58" t="str">
        <f>IFERROR(VLOOKUP($A111,[5]실험의뢰_장진영!$A:$M,3,0),"")</f>
        <v>라네즈 시카슬리핑마스크 60ML (21AD 내용기</v>
      </c>
      <c r="C111" s="58" t="str">
        <f>IFERROR(VLOOKUP($A111,[5]실험의뢰_장진영!$A:$M,9,0),"")</f>
        <v>M241205_02</v>
      </c>
      <c r="D111" s="69" t="str">
        <f>IFERROR(VLOOKUP($A111,[5]실험의뢰_장진영!$A:$M,7,0),"")</f>
        <v>SI1590</v>
      </c>
      <c r="E111" s="1">
        <v>45679</v>
      </c>
      <c r="F111" t="s">
        <v>161</v>
      </c>
      <c r="G111" s="1" t="s">
        <v>157</v>
      </c>
      <c r="H111" t="s">
        <v>339</v>
      </c>
      <c r="I111" s="3">
        <v>4</v>
      </c>
      <c r="J111" s="46">
        <v>13</v>
      </c>
      <c r="L111" s="46" t="str">
        <f>실험지시[[#This Row],[금형코드]]</f>
        <v>M241205_02</v>
      </c>
      <c r="M111" s="60">
        <f>IFERROR(VLOOKUP($A111,[5]실험의뢰_장진영!$A:$M,5,0),"")</f>
        <v>100</v>
      </c>
      <c r="N111" s="58" t="str">
        <f>IFERROR(VLOOKUP($A111,[5]실험의뢰_장진영!$A:$M,4,0),"")</f>
        <v>색상 실험</v>
      </c>
      <c r="O111" s="59">
        <f>IFERROR(VLOOKUP($A111,[5]실험의뢰_장진영!$A:$M,6,0),"")</f>
        <v>45678</v>
      </c>
      <c r="P111" s="58" t="str">
        <f>IFERROR(VLOOKUP($A111,[5]실험의뢰_장진영!$A:$M,10,0),"")</f>
        <v>PP (롯데케미칼 J-560S)</v>
      </c>
      <c r="Q111" s="58">
        <f>IFERROR(VLOOKUP($A111,[5]실험의뢰_장진영!$A:$M,11,0),"")</f>
        <v>0</v>
      </c>
      <c r="R111" s="58">
        <f>IFERROR(VLOOKUP($A111,[5]실험의뢰_장진영!$A:$M,12,0),"")</f>
        <v>0</v>
      </c>
      <c r="S111" s="58">
        <f>IFERROR(VLOOKUP($A111,[5]실험의뢰_장진영!$A:$M,13,0),"")</f>
        <v>0</v>
      </c>
      <c r="T111" s="58"/>
    </row>
    <row r="112" spans="1:20" ht="30" customHeight="1">
      <c r="A112" s="58" t="s">
        <v>337</v>
      </c>
      <c r="B112" s="58" t="str">
        <f>IFERROR(VLOOKUP($A112,[5]실험의뢰_장진영!$A:$M,3,0),"")</f>
        <v>라네즈 워터슬리핑마스크 70ML (20AD 내용기</v>
      </c>
      <c r="C112" s="58" t="str">
        <f>IFERROR(VLOOKUP($A112,[5]실험의뢰_장진영!$A:$M,9,0),"")</f>
        <v>M201158_02</v>
      </c>
      <c r="D112" s="69" t="str">
        <f>IFERROR(VLOOKUP($A112,[5]실험의뢰_장진영!$A:$M,7,0),"")</f>
        <v>SI1592</v>
      </c>
      <c r="E112" s="1">
        <v>45679</v>
      </c>
      <c r="F112" t="s">
        <v>161</v>
      </c>
      <c r="G112" s="1" t="s">
        <v>157</v>
      </c>
      <c r="H112" t="s">
        <v>339</v>
      </c>
      <c r="I112" s="3">
        <v>4</v>
      </c>
      <c r="J112" s="46">
        <v>13</v>
      </c>
      <c r="L112" s="46" t="str">
        <f>실험지시[[#This Row],[금형코드]]</f>
        <v>M201158_02</v>
      </c>
      <c r="M112" s="60">
        <f>IFERROR(VLOOKUP($A112,[5]실험의뢰_장진영!$A:$M,5,0),"")</f>
        <v>400</v>
      </c>
      <c r="N112" s="58" t="str">
        <f>IFERROR(VLOOKUP($A112,[5]실험의뢰_장진영!$A:$M,4,0),"")</f>
        <v>색상 실험(그라데이션 코팅 나라와 태가에 나눠 보낼 예정입니다)</v>
      </c>
      <c r="O112" s="59">
        <f>IFERROR(VLOOKUP($A112,[5]실험의뢰_장진영!$A:$M,6,0),"")</f>
        <v>45678</v>
      </c>
      <c r="P112" s="58" t="str">
        <f>IFERROR(VLOOKUP($A112,[5]실험의뢰_장진영!$A:$M,10,0),"")</f>
        <v>PP (롯데케미칼 J-560S)</v>
      </c>
      <c r="Q112" s="58">
        <f>IFERROR(VLOOKUP($A112,[5]실험의뢰_장진영!$A:$M,11,0),"")</f>
        <v>0</v>
      </c>
      <c r="R112" s="58">
        <f>IFERROR(VLOOKUP($A112,[5]실험의뢰_장진영!$A:$M,12,0),"")</f>
        <v>0</v>
      </c>
      <c r="S112" s="58">
        <f>IFERROR(VLOOKUP($A112,[5]실험의뢰_장진영!$A:$M,13,0),"")</f>
        <v>0</v>
      </c>
      <c r="T112" s="58"/>
    </row>
    <row r="113" spans="1:20" ht="30" customHeight="1">
      <c r="A113" s="58" t="s">
        <v>338</v>
      </c>
      <c r="B113" s="58" t="str">
        <f>IFERROR(VLOOKUP($A113,[5]실험의뢰_장진영!$A:$M,3,0),"")</f>
        <v>라네즈 워터슬리핑마스크 70ML (20AD 단캡</v>
      </c>
      <c r="C113" s="58" t="str">
        <f>IFERROR(VLOOKUP($A113,[5]실험의뢰_장진영!$A:$M,9,0),"")</f>
        <v>M201156_02,M201161_03</v>
      </c>
      <c r="D113" s="69" t="str">
        <f>IFERROR(VLOOKUP($A113,[5]실험의뢰_장진영!$A:$M,7,0),"")</f>
        <v>SI1591</v>
      </c>
      <c r="E113" s="1">
        <v>45681</v>
      </c>
      <c r="F113" t="s">
        <v>161</v>
      </c>
      <c r="G113" s="1" t="s">
        <v>341</v>
      </c>
      <c r="H113" t="s">
        <v>342</v>
      </c>
      <c r="I113" s="3">
        <v>3</v>
      </c>
      <c r="J113" s="46">
        <v>32</v>
      </c>
      <c r="L113" s="46" t="str">
        <f>실험지시[[#This Row],[금형코드]]</f>
        <v>M201156_02,M201161_03</v>
      </c>
      <c r="M113" s="60">
        <f>IFERROR(VLOOKUP($A113,[5]실험의뢰_장진영!$A:$M,5,0),"")</f>
        <v>100</v>
      </c>
      <c r="N113" s="58" t="str">
        <f>IFERROR(VLOOKUP($A113,[5]실험의뢰_장진영!$A:$M,4,0),"")</f>
        <v>색상 실험</v>
      </c>
      <c r="O113" s="59">
        <f>IFERROR(VLOOKUP($A113,[5]실험의뢰_장진영!$A:$M,6,0),"")</f>
        <v>45678</v>
      </c>
      <c r="P113" s="58" t="str">
        <f>IFERROR(VLOOKUP($A113,[5]실험의뢰_장진영!$A:$M,10,0),"")</f>
        <v>PP (다원소재 DW-2360)</v>
      </c>
      <c r="Q113" s="58">
        <f>IFERROR(VLOOKUP($A113,[5]실험의뢰_장진영!$A:$M,11,0),"")</f>
        <v>0</v>
      </c>
      <c r="R113" s="58">
        <f>IFERROR(VLOOKUP($A113,[5]실험의뢰_장진영!$A:$M,12,0),"")</f>
        <v>0</v>
      </c>
      <c r="S113" s="58">
        <f>IFERROR(VLOOKUP($A113,[5]실험의뢰_장진영!$A:$M,13,0),"")</f>
        <v>0</v>
      </c>
      <c r="T113" s="58"/>
    </row>
    <row r="114" spans="1:20" ht="30" customHeight="1">
      <c r="A114" s="58" t="s">
        <v>340</v>
      </c>
      <c r="B114" s="58" t="str">
        <f>IFERROR(VLOOKUP($A114,[5]실험의뢰_장진영!$A:$M,3,0),"")</f>
        <v>(수출)라네즈 유스콜라겐드링크 25ml*30EA 패키지변경 25AD 캡</v>
      </c>
      <c r="C114" s="58" t="str">
        <f>IFERROR(VLOOKUP($A114,[5]실험의뢰_장진영!$A:$M,9,0),"")</f>
        <v>M231323_04</v>
      </c>
      <c r="D114" s="69" t="str">
        <f>IFERROR(VLOOKUP($A114,[5]실험의뢰_장진영!$A:$M,7,0),"")</f>
        <v>SI1569</v>
      </c>
      <c r="E114" s="1">
        <v>45681</v>
      </c>
      <c r="F114" t="s">
        <v>74</v>
      </c>
      <c r="G114" s="1" t="s">
        <v>311</v>
      </c>
      <c r="H114" t="s">
        <v>343</v>
      </c>
      <c r="I114" s="3">
        <v>5</v>
      </c>
      <c r="J114" s="46">
        <v>17</v>
      </c>
      <c r="L114" s="46" t="str">
        <f>실험지시[[#This Row],[금형코드]]</f>
        <v>M231323_04</v>
      </c>
      <c r="M114" s="60">
        <f>IFERROR(VLOOKUP($A114,[5]실험의뢰_장진영!$A:$M,5,0),"")</f>
        <v>0</v>
      </c>
      <c r="N114" s="58" t="str">
        <f>IFERROR(VLOOKUP($A114,[5]실험의뢰_장진영!$A:$M,4,0),"")</f>
        <v>게이트 주위 및 상단 웰드라인 등 불량 원인 파악 및 사출조건 조정</v>
      </c>
      <c r="O114" s="59">
        <f>IFERROR(VLOOKUP($A114,[5]실험의뢰_장진영!$A:$M,6,0),"")</f>
        <v>45672</v>
      </c>
      <c r="P114" s="58" t="str">
        <f>IFERROR(VLOOKUP($A114,[5]실험의뢰_장진영!$A:$M,10,0),"")</f>
        <v>HDPE (롯데케미칼 2200J)</v>
      </c>
      <c r="Q114" s="58" t="str">
        <f>IFERROR(VLOOKUP($A114,[5]실험의뢰_장진영!$A:$M,11,0),"")</f>
        <v>최근 MB</v>
      </c>
      <c r="R114" s="58">
        <f>IFERROR(VLOOKUP($A114,[5]실험의뢰_장진영!$A:$M,12,0),"")</f>
        <v>0</v>
      </c>
      <c r="S114" s="58">
        <f>IFERROR(VLOOKUP($A114,[5]실험의뢰_장진영!$A:$M,13,0),"")</f>
        <v>0</v>
      </c>
      <c r="T114" s="58"/>
    </row>
    <row r="115" spans="1:20" ht="30" customHeight="1">
      <c r="A115" s="58" t="s">
        <v>364</v>
      </c>
      <c r="B115" s="58" t="str">
        <f>IFERROR(VLOOKUP($A115,[5]실험의뢰_장진영!$A:$M,3,0),"")</f>
        <v>라보에이치 모발강화 트리트먼트 200ml 50파이 원터치캡</v>
      </c>
      <c r="C115" s="58" t="str">
        <f>IFERROR(VLOOKUP($A115,[5]실험의뢰_장진영!$A:$M,9,0),"")</f>
        <v>M241332-01</v>
      </c>
      <c r="D115" s="69" t="str">
        <f>IFERROR(VLOOKUP($A115,[5]실험의뢰_장진영!$A:$M,7,0),"")</f>
        <v>SI1557</v>
      </c>
      <c r="E115" s="1">
        <v>45695</v>
      </c>
      <c r="F115" t="s">
        <v>161</v>
      </c>
      <c r="G115" s="1" t="s">
        <v>157</v>
      </c>
      <c r="H115" t="s">
        <v>307</v>
      </c>
      <c r="I115" s="3">
        <v>5</v>
      </c>
      <c r="J115" s="46">
        <v>29</v>
      </c>
      <c r="K115" s="74">
        <v>250122</v>
      </c>
      <c r="L115" s="46" t="str">
        <f>실험지시[[#This Row],[금형코드]]</f>
        <v>M241332-01</v>
      </c>
      <c r="M115" s="60">
        <f>IFERROR(VLOOKUP($A115,[5]실험의뢰_장진영!$A:$M,5,0),"")</f>
        <v>0</v>
      </c>
      <c r="N115" s="58" t="str">
        <f>IFERROR(VLOOKUP($A115,[5]실험의뢰_장진영!$A:$M,4,0),"")</f>
        <v>장식과 조립 시 뜨임 이슈로 금형 수정해서 들어옵니다. 수정확인용입니다.</v>
      </c>
      <c r="O115" s="59">
        <f>IFERROR(VLOOKUP($A115,[5]실험의뢰_장진영!$A:$M,6,0),"")</f>
        <v>45693</v>
      </c>
      <c r="P115" s="58" t="str">
        <f>IFERROR(VLOOKUP($A115,[5]실험의뢰_장진영!$A:$M,10,0),"")</f>
        <v>PP (롯데케미칼 J-560S)</v>
      </c>
      <c r="Q115" s="58">
        <f>IFERROR(VLOOKUP($A115,[5]실험의뢰_장진영!$A:$M,11,0),"")</f>
        <v>0</v>
      </c>
      <c r="R115" s="58">
        <f>IFERROR(VLOOKUP($A115,[5]실험의뢰_장진영!$A:$M,12,0),"")</f>
        <v>0</v>
      </c>
      <c r="S115" s="58" t="str">
        <f>IFERROR(VLOOKUP($A115,[5]실험의뢰_장진영!$A:$M,13,0),"")</f>
        <v>금형 입고되는대로 사출하면 됩니다.</v>
      </c>
      <c r="T115" s="58"/>
    </row>
    <row r="116" spans="1:20" ht="30" customHeight="1">
      <c r="A116" s="58" t="s">
        <v>330</v>
      </c>
      <c r="B116" s="58" t="str">
        <f>IFERROR(VLOOKUP($A116,[5]실험의뢰_장진영!$A:$M,3,0),"")</f>
        <v>미장센 헬로 젤리 팡팡 리필 상용기</v>
      </c>
      <c r="C116" s="58" t="str">
        <f>IFERROR(VLOOKUP($A116,[5]실험의뢰_장진영!$A:$M,9,0),"")</f>
        <v>M241192_02</v>
      </c>
      <c r="D116" s="69" t="str">
        <f>IFERROR(VLOOKUP($A116,[5]실험의뢰_장진영!$A:$M,7,0),"")</f>
        <v>SI1584</v>
      </c>
      <c r="E116" s="1">
        <v>45694</v>
      </c>
      <c r="F116" t="s">
        <v>114</v>
      </c>
      <c r="G116" s="1" t="s">
        <v>366</v>
      </c>
      <c r="H116" t="s">
        <v>367</v>
      </c>
      <c r="I116" s="3" t="s">
        <v>368</v>
      </c>
      <c r="J116" s="46">
        <v>29</v>
      </c>
      <c r="L116" s="46" t="str">
        <f>실험지시[[#This Row],[금형코드]]</f>
        <v>M241192_02</v>
      </c>
      <c r="M116" s="60">
        <f>IFERROR(VLOOKUP($A116,[5]실험의뢰_장진영!$A:$M,5,0),"")</f>
        <v>100</v>
      </c>
      <c r="N116" s="58" t="str">
        <f>IFERROR(VLOOKUP($A116,[5]실험의뢰_장진영!$A:$M,4,0),"")</f>
        <v>색상 실험</v>
      </c>
      <c r="O116" s="59">
        <f>IFERROR(VLOOKUP($A116,[5]실험의뢰_장진영!$A:$M,6,0),"")</f>
        <v>45677</v>
      </c>
      <c r="P116" s="58" t="str">
        <f>IFERROR(VLOOKUP($A116,[5]실험의뢰_장진영!$A:$M,10,0),"")</f>
        <v>LDPE (한화케미칼 5321) (30%)
PP (롯데케미칼 J-560S) (70%)</v>
      </c>
      <c r="Q116" s="58">
        <f>IFERROR(VLOOKUP($A116,[5]실험의뢰_장진영!$A:$M,11,0),"")</f>
        <v>0</v>
      </c>
      <c r="R116" s="58">
        <f>IFERROR(VLOOKUP($A116,[5]실험의뢰_장진영!$A:$M,12,0),"")</f>
        <v>0</v>
      </c>
      <c r="S116" s="58">
        <f>IFERROR(VLOOKUP($A116,[5]실험의뢰_장진영!$A:$M,13,0),"")</f>
        <v>0</v>
      </c>
      <c r="T116" s="58"/>
    </row>
    <row r="117" spans="1:20" ht="30" customHeight="1">
      <c r="A117" s="58" t="s">
        <v>331</v>
      </c>
      <c r="B117" s="58" t="str">
        <f>IFERROR(VLOOKUP($A117,[5]실험의뢰_장진영!$A:$M,3,0),"")</f>
        <v>미장센 헬로 젤리 팡팡 리필 하용기</v>
      </c>
      <c r="C117" s="58" t="str">
        <f>IFERROR(VLOOKUP($A117,[5]실험의뢰_장진영!$A:$M,9,0),"")</f>
        <v>M241193_02</v>
      </c>
      <c r="D117" s="69" t="str">
        <f>IFERROR(VLOOKUP($A117,[5]실험의뢰_장진영!$A:$M,7,0),"")</f>
        <v>SI1585</v>
      </c>
      <c r="E117" s="1">
        <v>45694</v>
      </c>
      <c r="F117" t="s">
        <v>114</v>
      </c>
      <c r="G117" s="1" t="s">
        <v>157</v>
      </c>
      <c r="H117" t="s">
        <v>365</v>
      </c>
      <c r="I117" s="3">
        <v>5</v>
      </c>
      <c r="J117" s="46">
        <v>29</v>
      </c>
      <c r="L117" s="46" t="str">
        <f>실험지시[[#This Row],[금형코드]]</f>
        <v>M241193_02</v>
      </c>
      <c r="M117" s="60">
        <f>IFERROR(VLOOKUP($A117,[5]실험의뢰_장진영!$A:$M,5,0),"")</f>
        <v>100</v>
      </c>
      <c r="N117" s="58" t="str">
        <f>IFERROR(VLOOKUP($A117,[5]실험의뢰_장진영!$A:$M,4,0),"")</f>
        <v>색상 실험</v>
      </c>
      <c r="O117" s="59">
        <f>IFERROR(VLOOKUP($A117,[5]실험의뢰_장진영!$A:$M,6,0),"")</f>
        <v>45677</v>
      </c>
      <c r="P117" s="58" t="str">
        <f>IFERROR(VLOOKUP($A117,[5]실험의뢰_장진영!$A:$M,10,0),"")</f>
        <v>PP (롯데케미칼 J-560S)</v>
      </c>
      <c r="Q117" s="58">
        <f>IFERROR(VLOOKUP($A117,[5]실험의뢰_장진영!$A:$M,11,0),"")</f>
        <v>0</v>
      </c>
      <c r="R117" s="58">
        <f>IFERROR(VLOOKUP($A117,[5]실험의뢰_장진영!$A:$M,12,0),"")</f>
        <v>0</v>
      </c>
      <c r="S117" s="58">
        <f>IFERROR(VLOOKUP($A117,[5]실험의뢰_장진영!$A:$M,13,0),"")</f>
        <v>0</v>
      </c>
      <c r="T117" s="58"/>
    </row>
    <row r="118" spans="1:20" ht="30" customHeight="1">
      <c r="A118" s="58" t="s">
        <v>369</v>
      </c>
      <c r="B118" s="58" t="str">
        <f>IFERROR(VLOOKUP($A118,[5]실험의뢰_장진영!$A:$M,3,0),"")</f>
        <v>아이오페 스템Ⅲ 클리니컬 리커버리 크림 50ML(25) 내용기</v>
      </c>
      <c r="C118" s="58" t="str">
        <f>IFERROR(VLOOKUP($A118,[5]실험의뢰_장진영!$A:$M,9,0),"")</f>
        <v>M241341_01</v>
      </c>
      <c r="D118" s="69" t="str">
        <f>IFERROR(VLOOKUP($A118,[5]실험의뢰_장진영!$A:$M,7,0),"")</f>
        <v>SI1543</v>
      </c>
      <c r="E118" s="1">
        <v>45699</v>
      </c>
      <c r="F118" t="s">
        <v>161</v>
      </c>
      <c r="G118" s="1" t="s">
        <v>157</v>
      </c>
      <c r="H118" t="s">
        <v>370</v>
      </c>
      <c r="I118" s="3">
        <v>5</v>
      </c>
      <c r="J118" s="46">
        <v>13</v>
      </c>
      <c r="L118" s="46" t="str">
        <f>실험지시[[#This Row],[금형코드]]</f>
        <v>M241341_01</v>
      </c>
      <c r="M118" s="60">
        <f>IFERROR(VLOOKUP($A118,[5]실험의뢰_장진영!$A:$M,5,0),"")</f>
        <v>300</v>
      </c>
      <c r="N118" s="58" t="str">
        <f>IFERROR(VLOOKUP($A118,[5]실험의뢰_장진영!$A:$M,4,0),"")</f>
        <v>색상실험, 도면치수맞게 사출</v>
      </c>
      <c r="O118" s="59">
        <f>IFERROR(VLOOKUP($A118,[5]실험의뢰_장진영!$A:$M,6,0),"")</f>
        <v>0</v>
      </c>
      <c r="P118" s="58" t="str">
        <f>IFERROR(VLOOKUP($A118,[5]실험의뢰_장진영!$A:$M,10,0),"")</f>
        <v>PP (롯데케미칼 J-560S)</v>
      </c>
      <c r="Q118" s="58" t="str">
        <f>IFERROR(VLOOKUP($A118,[5]실험의뢰_장진영!$A:$M,11,0),"")</f>
        <v>변경</v>
      </c>
      <c r="R118" s="58">
        <f>IFERROR(VLOOKUP($A118,[5]실험의뢰_장진영!$A:$M,12,0),"")</f>
        <v>0</v>
      </c>
      <c r="S118" s="58">
        <f>IFERROR(VLOOKUP($A118,[5]실험의뢰_장진영!$A:$M,13,0),"")</f>
        <v>0</v>
      </c>
      <c r="T118" s="58"/>
    </row>
    <row r="119" spans="1:20" ht="30" customHeight="1">
      <c r="A119" s="58" t="s">
        <v>371</v>
      </c>
      <c r="B119" s="58" t="str">
        <f>IFERROR(VLOOKUP($A119,[5]실험의뢰_장진영!$A:$M,3,0),"")</f>
        <v>아이오페 스템Ⅲ 클리니컬 리커버리 크림 50ML(25) 내캡 사출</v>
      </c>
      <c r="C119" s="58" t="str">
        <f>IFERROR(VLOOKUP($A119,[5]실험의뢰_장진영!$A:$M,9,0),"")</f>
        <v>M241343_01</v>
      </c>
      <c r="D119" s="69" t="str">
        <f>IFERROR(VLOOKUP($A119,[5]실험의뢰_장진영!$A:$M,7,0),"")</f>
        <v>SI1542</v>
      </c>
      <c r="E119" s="1">
        <v>45699</v>
      </c>
      <c r="F119" t="s">
        <v>161</v>
      </c>
      <c r="G119" s="1" t="s">
        <v>157</v>
      </c>
      <c r="H119" t="s">
        <v>147</v>
      </c>
      <c r="I119" s="3">
        <v>4</v>
      </c>
      <c r="J119" s="46">
        <v>13</v>
      </c>
      <c r="K119" s="74">
        <v>1212</v>
      </c>
      <c r="L119" s="46" t="str">
        <f>실험지시[[#This Row],[금형코드]]</f>
        <v>M241343_01</v>
      </c>
      <c r="M119" s="60">
        <f>IFERROR(VLOOKUP($A119,[5]실험의뢰_장진영!$A:$M,5,0),"")</f>
        <v>400</v>
      </c>
      <c r="N119" s="58" t="str">
        <f>IFERROR(VLOOKUP($A119,[5]실험의뢰_장진영!$A:$M,4,0),"")</f>
        <v>기능, 후가공테스트 40ea, 표견 20ea, 베르상스공유 20ea, 프리웍스 200ea</v>
      </c>
      <c r="O119" s="59">
        <f>IFERROR(VLOOKUP($A119,[5]실험의뢰_장진영!$A:$M,6,0),"")</f>
        <v>45694</v>
      </c>
      <c r="P119" s="58" t="str">
        <f>IFERROR(VLOOKUP($A119,[5]실험의뢰_장진영!$A:$M,10,0),"")</f>
        <v>PP (롯데케미칼 J-560S)</v>
      </c>
      <c r="Q119" s="58">
        <f>IFERROR(VLOOKUP($A119,[5]실험의뢰_장진영!$A:$M,11,0),"")</f>
        <v>0</v>
      </c>
      <c r="R119" s="58">
        <f>IFERROR(VLOOKUP($A119,[5]실험의뢰_장진영!$A:$M,12,0),"")</f>
        <v>0</v>
      </c>
      <c r="S119" s="58">
        <f>IFERROR(VLOOKUP($A119,[5]실험의뢰_장진영!$A:$M,13,0),"")</f>
        <v>0</v>
      </c>
      <c r="T119" s="58"/>
    </row>
    <row r="120" spans="1:20" ht="30" customHeight="1">
      <c r="A120" s="58" t="s">
        <v>372</v>
      </c>
      <c r="B120" s="58" t="str">
        <f>IFERROR(VLOOKUP($A120,[5]실험의뢰_장진영!$A:$M,3,0),"")</f>
        <v>아이오페 스템Ⅲ 클리니컬 리커버리 크림 50ML(25) 캡장식 사출</v>
      </c>
      <c r="C120" s="58" t="str">
        <f>IFERROR(VLOOKUP($A120,[5]실험의뢰_장진영!$A:$M,9,0),"")</f>
        <v>M241344_01</v>
      </c>
      <c r="D120" s="69" t="str">
        <f>IFERROR(VLOOKUP($A120,[5]실험의뢰_장진영!$A:$M,7,0),"")</f>
        <v>SI1540</v>
      </c>
      <c r="E120" s="1">
        <v>45700</v>
      </c>
      <c r="F120" t="s">
        <v>74</v>
      </c>
      <c r="G120" s="1" t="s">
        <v>164</v>
      </c>
      <c r="I120" s="3"/>
      <c r="J120" s="46">
        <v>8</v>
      </c>
      <c r="K120" s="74">
        <v>1118</v>
      </c>
      <c r="L120" s="46" t="str">
        <f>실험지시[[#This Row],[금형코드]]</f>
        <v>M241344_01</v>
      </c>
      <c r="M120" s="60">
        <f>IFERROR(VLOOKUP($A120,[5]실험의뢰_장진영!$A:$M,5,0),"")</f>
        <v>400</v>
      </c>
      <c r="N120" s="58" t="str">
        <f>IFERROR(VLOOKUP($A120,[5]실험의뢰_장진영!$A:$M,4,0),"")</f>
        <v>기능, 후가공테스트 40ea, 표견 20ea, 베르상스공유 20ea, 프리웍스 200ea</v>
      </c>
      <c r="O120" s="59">
        <f>IFERROR(VLOOKUP($A120,[5]실험의뢰_장진영!$A:$M,6,0),"")</f>
        <v>45694</v>
      </c>
      <c r="P120" s="58" t="str">
        <f>IFERROR(VLOOKUP($A120,[5]실험의뢰_장진영!$A:$M,10,0),"")</f>
        <v>PETG (SK케미칼 PN200)</v>
      </c>
      <c r="Q120" s="58">
        <f>IFERROR(VLOOKUP($A120,[5]실험의뢰_장진영!$A:$M,11,0),"")</f>
        <v>0</v>
      </c>
      <c r="R120" s="58">
        <f>IFERROR(VLOOKUP($A120,[5]실험의뢰_장진영!$A:$M,12,0),"")</f>
        <v>0</v>
      </c>
      <c r="S120" s="58" t="str">
        <f>IFERROR(VLOOKUP($A120,[5]실험의뢰_장진영!$A:$M,13,0),"")</f>
        <v>장식은 증착 불량 감안해서 수량 넉넉히 찍는게 좋겠습니다.</v>
      </c>
      <c r="T120" s="58"/>
    </row>
    <row r="121" spans="1:20" ht="30" customHeight="1">
      <c r="A121" s="58" t="s">
        <v>373</v>
      </c>
      <c r="B121" s="58" t="str">
        <f>IFERROR(VLOOKUP($A121,[5]실험의뢰_장진영!$A:$M,3,0),"")</f>
        <v>아이오페 스템Ⅲ 클리니컬 리커버리 크림 50ML(25) 외캡 사출</v>
      </c>
      <c r="C121" s="58" t="str">
        <f>IFERROR(VLOOKUP($A121,[5]실험의뢰_장진영!$A:$M,9,0),"")</f>
        <v>M241342_01</v>
      </c>
      <c r="D121" s="69" t="str">
        <f>IFERROR(VLOOKUP($A121,[5]실험의뢰_장진영!$A:$M,7,0),"")</f>
        <v>SI1541</v>
      </c>
      <c r="E121" s="1">
        <v>45701</v>
      </c>
      <c r="F121" t="s">
        <v>74</v>
      </c>
      <c r="G121" t="s">
        <v>75</v>
      </c>
      <c r="I121" s="3"/>
      <c r="J121" s="46">
        <v>8</v>
      </c>
      <c r="K121" s="74">
        <v>1212</v>
      </c>
      <c r="L121" s="46" t="str">
        <f>실험지시[[#This Row],[금형코드]]</f>
        <v>M241342_01</v>
      </c>
      <c r="M121" s="60">
        <f>IFERROR(VLOOKUP($A121,[5]실험의뢰_장진영!$A:$M,5,0),"")</f>
        <v>300</v>
      </c>
      <c r="N121" s="58" t="str">
        <f>IFERROR(VLOOKUP($A121,[5]실험의뢰_장진영!$A:$M,4,0),"")</f>
        <v>기능, 후가공테스트 40ea, 표견 20ea, 베르상스공유 20ea, 프리웍스 200ea</v>
      </c>
      <c r="O121" s="59">
        <f>IFERROR(VLOOKUP($A121,[5]실험의뢰_장진영!$A:$M,6,0),"")</f>
        <v>45694</v>
      </c>
      <c r="P121" s="58" t="str">
        <f>IFERROR(VLOOKUP($A121,[5]실험의뢰_장진영!$A:$M,10,0),"")</f>
        <v>PETG (SK케미칼 PN200)</v>
      </c>
      <c r="Q121" s="58">
        <f>IFERROR(VLOOKUP($A121,[5]실험의뢰_장진영!$A:$M,11,0),"")</f>
        <v>0</v>
      </c>
      <c r="R121" s="58">
        <f>IFERROR(VLOOKUP($A121,[5]실험의뢰_장진영!$A:$M,12,0),"")</f>
        <v>0</v>
      </c>
      <c r="S121" s="58">
        <f>IFERROR(VLOOKUP($A121,[5]실험의뢰_장진영!$A:$M,13,0),"")</f>
        <v>0</v>
      </c>
      <c r="T121" s="58"/>
    </row>
    <row r="122" spans="1:20" ht="30" customHeight="1">
      <c r="A122" s="58" t="s">
        <v>401</v>
      </c>
      <c r="B122" s="58" t="str">
        <f>IFERROR(VLOOKUP($A122,[5]실험의뢰_장진영!$A:$M,3,0),"")</f>
        <v>라네즈 워터슬리핑마스크 70ML (20AD 외용기</v>
      </c>
      <c r="C122" s="58" t="str">
        <f>IFERROR(VLOOKUP($A122,[5]실험의뢰_장진영!$A:$M,9,0),"")</f>
        <v>M201159_02,M201160_03</v>
      </c>
      <c r="D122" s="97" t="str">
        <f>IFERROR(VLOOKUP($A122,[5]실험의뢰_장진영!$A:$M,7,0),"")</f>
        <v>SI1596</v>
      </c>
      <c r="E122" s="1">
        <v>45707</v>
      </c>
      <c r="F122" t="s">
        <v>74</v>
      </c>
      <c r="G122" s="1" t="s">
        <v>374</v>
      </c>
      <c r="I122" s="3"/>
      <c r="J122" s="46">
        <v>32</v>
      </c>
      <c r="L122" s="46" t="str">
        <f>실험지시[[#This Row],[금형코드]]</f>
        <v>M201159_02,M201160_03</v>
      </c>
      <c r="M122" s="60">
        <f>IFERROR(VLOOKUP($A122,[5]실험의뢰_장진영!$A:$M,5,0),"")</f>
        <v>0</v>
      </c>
      <c r="N122" s="58">
        <f>IFERROR(VLOOKUP($A122,[5]실험의뢰_장진영!$A:$M,4,0),"")</f>
        <v>0</v>
      </c>
      <c r="O122" s="59">
        <f>IFERROR(VLOOKUP($A122,[5]실험의뢰_장진영!$A:$M,6,0),"")</f>
        <v>0</v>
      </c>
      <c r="P122" s="58" t="str">
        <f>IFERROR(VLOOKUP($A122,[5]실험의뢰_장진영!$A:$M,10,0),"")</f>
        <v>AS 82TR</v>
      </c>
      <c r="Q122" s="58">
        <f>IFERROR(VLOOKUP($A122,[5]실험의뢰_장진영!$A:$M,11,0),"")</f>
        <v>0</v>
      </c>
      <c r="R122" s="58">
        <f>IFERROR(VLOOKUP($A122,[5]실험의뢰_장진영!$A:$M,12,0),"")</f>
        <v>0</v>
      </c>
      <c r="S122" s="58">
        <f>IFERROR(VLOOKUP($A122,[5]실험의뢰_장진영!$A:$M,13,0),"")</f>
        <v>0</v>
      </c>
      <c r="T122" s="58"/>
    </row>
    <row r="123" spans="1:20" ht="30" customHeight="1">
      <c r="A123" s="58" t="s">
        <v>375</v>
      </c>
      <c r="B123" s="58" t="str">
        <f>IFERROR(VLOOKUP($A123,[5]실험의뢰_장진영!$A:$M,3,0),"")</f>
        <v>(수출)라네즈 유스콜라겐드링크 25ml*30EA 패키지변경 25AD 캡</v>
      </c>
      <c r="C123" s="58" t="str">
        <f>IFERROR(VLOOKUP($A123,[5]실험의뢰_장진영!$A:$M,9,0),"")</f>
        <v>M231323_04</v>
      </c>
      <c r="D123" s="69" t="str">
        <f>IFERROR(VLOOKUP($A123,[5]실험의뢰_장진영!$A:$M,7,0),"")</f>
        <v>SI1569</v>
      </c>
      <c r="E123" s="1">
        <v>45705</v>
      </c>
      <c r="F123" t="s">
        <v>177</v>
      </c>
      <c r="G123" s="1" t="s">
        <v>311</v>
      </c>
      <c r="H123" t="s">
        <v>389</v>
      </c>
      <c r="I123" s="3"/>
      <c r="J123" s="46">
        <v>26</v>
      </c>
      <c r="L123" s="46" t="str">
        <f>실험지시[[#This Row],[금형코드]]</f>
        <v>M231323_04</v>
      </c>
      <c r="M123" s="60">
        <f>IFERROR(VLOOKUP($A123,[5]실험의뢰_장진영!$A:$M,5,0),"")</f>
        <v>100</v>
      </c>
      <c r="N123" s="58" t="str">
        <f>IFERROR(VLOOKUP($A123,[5]실험의뢰_장진영!$A:$M,4,0),"")</f>
        <v>색상이 톤은 맞으나 채도가 더 낮았으면 좋겠다고 합니다. 색상실험 요청</v>
      </c>
      <c r="O123" s="59">
        <f>IFERROR(VLOOKUP($A123,[5]실험의뢰_장진영!$A:$M,6,0),"")</f>
        <v>0</v>
      </c>
      <c r="P123" s="58" t="str">
        <f>IFERROR(VLOOKUP($A123,[5]실험의뢰_장진영!$A:$M,10,0),"")</f>
        <v>HDPE (롯데케미칼 2200J)</v>
      </c>
      <c r="Q123" s="58">
        <f>IFERROR(VLOOKUP($A123,[5]실험의뢰_장진영!$A:$M,11,0),"")</f>
        <v>0</v>
      </c>
      <c r="R123" s="58">
        <f>IFERROR(VLOOKUP($A123,[5]실험의뢰_장진영!$A:$M,12,0),"")</f>
        <v>0</v>
      </c>
      <c r="S123" s="58" t="str">
        <f>IFERROR(VLOOKUP($A123,[5]실험의뢰_장진영!$A:$M,13,0),"")</f>
        <v>색상만 확인하는 용도로 수량 많이 필요 없습니다.</v>
      </c>
      <c r="T123" s="58"/>
    </row>
    <row r="124" spans="1:20" ht="30" customHeight="1">
      <c r="A124" s="58" t="s">
        <v>376</v>
      </c>
      <c r="B124" s="58" t="str">
        <f>IFERROR(VLOOKUP($A124,[5]실험의뢰_장진영!$A:$M,3,0),"")</f>
        <v>라보에이치 모발강화 트리트먼트 300ml 60파이 원터치캡</v>
      </c>
      <c r="C124" s="58" t="str">
        <f>IFERROR(VLOOKUP($A124,[5]실험의뢰_장진영!$A:$M,9,0),"")</f>
        <v>M241336-01</v>
      </c>
      <c r="D124" s="69" t="str">
        <f>IFERROR(VLOOKUP($A124,[5]실험의뢰_장진영!$A:$M,7,0),"")</f>
        <v>SI1559</v>
      </c>
      <c r="E124" s="1">
        <v>45707</v>
      </c>
      <c r="F124" t="s">
        <v>114</v>
      </c>
      <c r="G124" s="1" t="s">
        <v>157</v>
      </c>
      <c r="H124" t="s">
        <v>307</v>
      </c>
      <c r="I124" s="3">
        <v>5</v>
      </c>
      <c r="J124" s="46">
        <v>29</v>
      </c>
      <c r="L124" s="46" t="str">
        <f>실험지시[[#This Row],[금형코드]]</f>
        <v>M241336-01</v>
      </c>
      <c r="M124" s="60">
        <f>IFERROR(VLOOKUP($A124,[5]실험의뢰_장진영!$A:$M,5,0),"")</f>
        <v>0</v>
      </c>
      <c r="N124" s="58" t="str">
        <f>IFERROR(VLOOKUP($A124,[5]실험의뢰_장진영!$A:$M,4,0),"")</f>
        <v>부식 확인 실험</v>
      </c>
      <c r="O124" s="59">
        <f>IFERROR(VLOOKUP($A124,[5]실험의뢰_장진영!$A:$M,6,0),"")</f>
        <v>45693</v>
      </c>
      <c r="P124" s="58">
        <f>IFERROR(VLOOKUP($A124,[5]실험의뢰_장진영!$A:$M,10,0),"")</f>
        <v>0</v>
      </c>
      <c r="Q124" s="58">
        <f>IFERROR(VLOOKUP($A124,[5]실험의뢰_장진영!$A:$M,11,0),"")</f>
        <v>0</v>
      </c>
      <c r="R124" s="58">
        <f>IFERROR(VLOOKUP($A124,[5]실험의뢰_장진영!$A:$M,12,0),"")</f>
        <v>0</v>
      </c>
      <c r="S124" s="58" t="str">
        <f>IFERROR(VLOOKUP($A124,[5]실험의뢰_장진영!$A:$M,13,0),"")</f>
        <v>금형 입고되는대로 사출하면 됩니다.</v>
      </c>
      <c r="T124" s="58"/>
    </row>
    <row r="125" spans="1:20" ht="30" customHeight="1">
      <c r="A125" s="58" t="s">
        <v>377</v>
      </c>
      <c r="B125" s="58" t="str">
        <f>IFERROR(VLOOKUP($A125,[5]실험의뢰_장진영!$A:$M,3,0),"")</f>
        <v>아이오페 스템Ⅲ 클리니컬 리커버리 크림 50ML(25) 내용기</v>
      </c>
      <c r="C125" s="58" t="str">
        <f>IFERROR(VLOOKUP($A125,[5]실험의뢰_장진영!$A:$M,9,0),"")</f>
        <v>M241341_01</v>
      </c>
      <c r="D125" s="69" t="str">
        <f>IFERROR(VLOOKUP($A125,[5]실험의뢰_장진영!$A:$M,7,0),"")</f>
        <v>SI1543</v>
      </c>
      <c r="E125" s="1">
        <v>45708</v>
      </c>
      <c r="F125" t="s">
        <v>74</v>
      </c>
      <c r="G125" s="1" t="s">
        <v>157</v>
      </c>
      <c r="H125" t="s">
        <v>378</v>
      </c>
      <c r="I125" s="3" t="s">
        <v>273</v>
      </c>
      <c r="J125" s="46">
        <v>29</v>
      </c>
      <c r="K125" s="74">
        <v>250205</v>
      </c>
      <c r="L125" s="46" t="str">
        <f>실험지시[[#This Row],[금형코드]]</f>
        <v>M241341_01</v>
      </c>
      <c r="M125" s="60">
        <f>IFERROR(VLOOKUP($A125,[5]실험의뢰_장진영!$A:$M,5,0),"")</f>
        <v>100</v>
      </c>
      <c r="N125" s="58" t="str">
        <f>IFERROR(VLOOKUP($A125,[5]실험의뢰_장진영!$A:$M,4,0),"")</f>
        <v>색상실험, 지난번 크게 사출한것에 맞춰 치수 확인할 것</v>
      </c>
      <c r="O125" s="59">
        <f>IFERROR(VLOOKUP($A125,[5]실험의뢰_장진영!$A:$M,6,0),"")</f>
        <v>45709</v>
      </c>
      <c r="P125" s="58" t="str">
        <f>IFERROR(VLOOKUP($A125,[5]실험의뢰_장진영!$A:$M,10,0),"")</f>
        <v>PP (롯데케미칼 J-560S)</v>
      </c>
      <c r="Q125" s="58">
        <f>IFERROR(VLOOKUP($A125,[5]실험의뢰_장진영!$A:$M,11,0),"")</f>
        <v>0</v>
      </c>
      <c r="R125" s="58">
        <f>IFERROR(VLOOKUP($A125,[5]실험의뢰_장진영!$A:$M,12,0),"")</f>
        <v>0</v>
      </c>
      <c r="S125" s="58" t="str">
        <f>IFERROR(VLOOKUP($A125,[5]실험의뢰_장진영!$A:$M,13,0),"")</f>
        <v>금요일 사출-&gt; 월요일 아침차편 나라 이동-&gt; 화요일 아침차편 입고입니다.</v>
      </c>
      <c r="T125" s="58"/>
    </row>
    <row r="126" spans="1:20" ht="30" customHeight="1">
      <c r="A126" s="58" t="s">
        <v>379</v>
      </c>
      <c r="B126" s="58" t="str">
        <f>IFERROR(VLOOKUP($A126,[5]실험의뢰_장진영!$A:$M,3,0),"")</f>
        <v>라네즈 워터슬리핑마스크 70ML (20AD 단캡</v>
      </c>
      <c r="C126" s="58" t="str">
        <f>IFERROR(VLOOKUP($A126,[5]실험의뢰_장진영!$A:$M,9,0),"")</f>
        <v>M201156_02,M201161_03</v>
      </c>
      <c r="D126" s="69" t="str">
        <f>IFERROR(VLOOKUP($A126,[5]실험의뢰_장진영!$A:$M,7,0),"")</f>
        <v>SI1591</v>
      </c>
      <c r="E126" s="1">
        <v>45708</v>
      </c>
      <c r="F126" t="s">
        <v>74</v>
      </c>
      <c r="G126" s="1" t="s">
        <v>397</v>
      </c>
      <c r="H126" t="s">
        <v>342</v>
      </c>
      <c r="I126" s="3">
        <v>3</v>
      </c>
      <c r="J126" s="46">
        <v>29</v>
      </c>
      <c r="L126" s="46" t="str">
        <f>실험지시[[#This Row],[금형코드]]</f>
        <v>M201156_02,M201161_03</v>
      </c>
      <c r="M126" s="60">
        <f>IFERROR(VLOOKUP($A126,[5]실험의뢰_장진영!$A:$M,5,0),"")</f>
        <v>100</v>
      </c>
      <c r="N126" s="58" t="str">
        <f>IFERROR(VLOOKUP($A126,[5]실험의뢰_장진영!$A:$M,4,0),"")</f>
        <v>색상 실험</v>
      </c>
      <c r="O126" s="59">
        <f>IFERROR(VLOOKUP($A126,[5]실험의뢰_장진영!$A:$M,6,0),"")</f>
        <v>0</v>
      </c>
      <c r="P126" s="58" t="str">
        <f>IFERROR(VLOOKUP($A126,[5]실험의뢰_장진영!$A:$M,10,0),"")</f>
        <v>PP (다원소재 DW-2360)</v>
      </c>
      <c r="Q126" s="58">
        <f>IFERROR(VLOOKUP($A126,[5]실험의뢰_장진영!$A:$M,11,0),"")</f>
        <v>0</v>
      </c>
      <c r="R126" s="58">
        <f>IFERROR(VLOOKUP($A126,[5]실험의뢰_장진영!$A:$M,12,0),"")</f>
        <v>0</v>
      </c>
      <c r="S126" s="58" t="str">
        <f>IFERROR(VLOOKUP($A126,[5]실험의뢰_장진영!$A:$M,13,0),"")</f>
        <v>냉각라인 문제로 금형 출고, 입고시 바로 사출 요망(2차)</v>
      </c>
      <c r="T126" s="58"/>
    </row>
    <row r="127" spans="1:20" ht="30" customHeight="1">
      <c r="A127" s="58" t="s">
        <v>380</v>
      </c>
      <c r="B127" s="58" t="str">
        <f>IFERROR(VLOOKUP($A127,[5]실험의뢰_장진영!$A:$M,3,0),"")</f>
        <v/>
      </c>
      <c r="C127" s="58" t="str">
        <f>IFERROR(VLOOKUP($A127,[5]실험의뢰_장진영!$A:$M,9,0),"")</f>
        <v/>
      </c>
      <c r="D127" s="69" t="str">
        <f>IFERROR(VLOOKUP($A127,[5]실험의뢰_장진영!$A:$M,7,0),"")</f>
        <v/>
      </c>
      <c r="E127" s="1">
        <v>45716</v>
      </c>
      <c r="F127" t="s">
        <v>161</v>
      </c>
      <c r="G127" s="1" t="s">
        <v>157</v>
      </c>
      <c r="H127" t="s">
        <v>339</v>
      </c>
      <c r="I127" s="3">
        <v>4</v>
      </c>
      <c r="J127" s="46">
        <v>13</v>
      </c>
      <c r="L127" s="46" t="str">
        <f>실험지시[[#This Row],[금형코드]]</f>
        <v/>
      </c>
      <c r="M127" s="60" t="str">
        <f>IFERROR(VLOOKUP($A127,[5]실험의뢰_장진영!$A:$M,5,0),"")</f>
        <v/>
      </c>
      <c r="N127" s="58" t="str">
        <f>IFERROR(VLOOKUP($A127,[5]실험의뢰_장진영!$A:$M,4,0),"")</f>
        <v/>
      </c>
      <c r="O127" s="59" t="str">
        <f>IFERROR(VLOOKUP($A127,[5]실험의뢰_장진영!$A:$M,6,0),"")</f>
        <v/>
      </c>
      <c r="P127" s="58" t="str">
        <f>IFERROR(VLOOKUP($A127,[5]실험의뢰_장진영!$A:$M,10,0),"")</f>
        <v/>
      </c>
      <c r="Q127" s="58" t="str">
        <f>IFERROR(VLOOKUP($A127,[5]실험의뢰_장진영!$A:$M,11,0),"")</f>
        <v/>
      </c>
      <c r="R127" s="58" t="str">
        <f>IFERROR(VLOOKUP($A127,[5]실험의뢰_장진영!$A:$M,12,0),"")</f>
        <v/>
      </c>
      <c r="S127" s="58" t="str">
        <f>IFERROR(VLOOKUP($A127,[5]실험의뢰_장진영!$A:$M,13,0),"")</f>
        <v/>
      </c>
      <c r="T127" s="58"/>
    </row>
    <row r="128" spans="1:20" ht="30" customHeight="1">
      <c r="A128" s="58" t="s">
        <v>381</v>
      </c>
      <c r="B128" s="58" t="str">
        <f>IFERROR(VLOOKUP($A128,[5]실험의뢰_장진영!$A:$M,3,0),"")</f>
        <v>라네즈 워터슬리핑마스크 70ML (20AD 내용기</v>
      </c>
      <c r="C128" s="58" t="str">
        <f>IFERROR(VLOOKUP($A128,[5]실험의뢰_장진영!$A:$M,9,0),"")</f>
        <v>M201158_02</v>
      </c>
      <c r="D128" s="69" t="str">
        <f>IFERROR(VLOOKUP($A128,[5]실험의뢰_장진영!$A:$M,7,0),"")</f>
        <v>SI1592</v>
      </c>
      <c r="E128" s="1">
        <v>45716</v>
      </c>
      <c r="F128" t="s">
        <v>161</v>
      </c>
      <c r="G128" s="1" t="s">
        <v>157</v>
      </c>
      <c r="H128" t="s">
        <v>339</v>
      </c>
      <c r="I128" s="3">
        <v>4</v>
      </c>
      <c r="J128" s="46">
        <v>13</v>
      </c>
      <c r="L128" s="46" t="str">
        <f>실험지시[[#This Row],[금형코드]]</f>
        <v>M201158_02</v>
      </c>
      <c r="M128" s="60">
        <f>IFERROR(VLOOKUP($A128,[5]실험의뢰_장진영!$A:$M,5,0),"")</f>
        <v>400</v>
      </c>
      <c r="N128" s="58" t="str">
        <f>IFERROR(VLOOKUP($A128,[5]실험의뢰_장진영!$A:$M,4,0),"")</f>
        <v>색상 실험, 치수확인</v>
      </c>
      <c r="O128" s="59">
        <f>IFERROR(VLOOKUP($A128,[5]실험의뢰_장진영!$A:$M,6,0),"")</f>
        <v>0</v>
      </c>
      <c r="P128" s="58" t="str">
        <f>IFERROR(VLOOKUP($A128,[5]실험의뢰_장진영!$A:$M,10,0),"")</f>
        <v>PP (롯데케미칼 J-560S)</v>
      </c>
      <c r="Q128" s="58">
        <f>IFERROR(VLOOKUP($A128,[5]실험의뢰_장진영!$A:$M,11,0),"")</f>
        <v>0</v>
      </c>
      <c r="R128" s="58">
        <f>IFERROR(VLOOKUP($A128,[5]실험의뢰_장진영!$A:$M,12,0),"")</f>
        <v>0</v>
      </c>
      <c r="S128" s="58" t="str">
        <f>IFERROR(VLOOKUP($A128,[5]실험의뢰_장진영!$A:$M,13,0),"")</f>
        <v>냉각라인 문제로 금형 출고, 입고시 바로 사출 요망</v>
      </c>
      <c r="T128" s="58"/>
    </row>
    <row r="129" spans="1:20" ht="30" customHeight="1">
      <c r="A129" s="58" t="s">
        <v>382</v>
      </c>
      <c r="B129" s="58" t="str">
        <f>IFERROR(VLOOKUP($A129,[5]실험의뢰_장진영!$A:$M,3,0),"")</f>
        <v>라네즈 워터슬리핑마스크 70ML (20AD 단캡</v>
      </c>
      <c r="C129" s="58" t="str">
        <f>IFERROR(VLOOKUP($A129,[5]실험의뢰_장진영!$A:$M,9,0),"")</f>
        <v>M201156_02,M201161_03</v>
      </c>
      <c r="D129" s="69" t="str">
        <f>IFERROR(VLOOKUP($A129,[5]실험의뢰_장진영!$A:$M,7,0),"")</f>
        <v>SI1591</v>
      </c>
      <c r="E129" s="1">
        <v>45712</v>
      </c>
      <c r="F129" t="s">
        <v>161</v>
      </c>
      <c r="G129" s="1" t="s">
        <v>398</v>
      </c>
      <c r="H129" t="s">
        <v>342</v>
      </c>
      <c r="I129" s="3">
        <v>3</v>
      </c>
      <c r="J129" s="46">
        <v>29</v>
      </c>
      <c r="L129" s="46" t="str">
        <f>실험지시[[#This Row],[금형코드]]</f>
        <v>M201156_02,M201161_03</v>
      </c>
      <c r="M129" s="60">
        <f>IFERROR(VLOOKUP($A129,[5]실험의뢰_장진영!$A:$M,5,0),"")</f>
        <v>0</v>
      </c>
      <c r="N129" s="58">
        <f>IFERROR(VLOOKUP($A129,[5]실험의뢰_장진영!$A:$M,4,0),"")</f>
        <v>0</v>
      </c>
      <c r="O129" s="59">
        <f>IFERROR(VLOOKUP($A129,[5]실험의뢰_장진영!$A:$M,6,0),"")</f>
        <v>0</v>
      </c>
      <c r="P129" s="58" t="str">
        <f>IFERROR(VLOOKUP($A129,[5]실험의뢰_장진영!$A:$M,10,0),"")</f>
        <v>PP (다원소재 DW-2360)</v>
      </c>
      <c r="Q129" s="58">
        <f>IFERROR(VLOOKUP($A129,[5]실험의뢰_장진영!$A:$M,11,0),"")</f>
        <v>0</v>
      </c>
      <c r="R129" s="58">
        <f>IFERROR(VLOOKUP($A129,[5]실험의뢰_장진영!$A:$M,12,0),"")</f>
        <v>0</v>
      </c>
      <c r="S129" s="58">
        <f>IFERROR(VLOOKUP($A129,[5]실험의뢰_장진영!$A:$M,13,0),"")</f>
        <v>0</v>
      </c>
      <c r="T129" s="58"/>
    </row>
    <row r="130" spans="1:20" ht="30" customHeight="1">
      <c r="A130" s="58" t="s">
        <v>383</v>
      </c>
      <c r="B130" s="58" t="str">
        <f>IFERROR(VLOOKUP($A130,[5]실험의뢰_장진영!$A:$M,3,0),"")</f>
        <v>미장센 헬로 젤리 팡팡 상용기(글로우쿠션 금형)</v>
      </c>
      <c r="C130" s="58" t="str">
        <f>IFERROR(VLOOKUP($A130,[5]실험의뢰_장진영!$A:$M,9,0),"")</f>
        <v>M241190_02</v>
      </c>
      <c r="D130" s="69" t="str">
        <f>IFERROR(VLOOKUP($A130,[5]실험의뢰_장진영!$A:$M,7,0),"")</f>
        <v>SI1582</v>
      </c>
      <c r="E130" s="1">
        <v>45713</v>
      </c>
      <c r="F130" t="s">
        <v>161</v>
      </c>
      <c r="G130" s="1" t="s">
        <v>164</v>
      </c>
      <c r="H130" t="s">
        <v>387</v>
      </c>
      <c r="I130" s="3">
        <v>5</v>
      </c>
      <c r="J130" s="46">
        <v>29</v>
      </c>
      <c r="L130" s="46" t="str">
        <f>실험지시[[#This Row],[금형코드]]</f>
        <v>M241190_02</v>
      </c>
      <c r="M130" s="60">
        <f>IFERROR(VLOOKUP($A130,[5]실험의뢰_장진영!$A:$M,5,0),"")</f>
        <v>300</v>
      </c>
      <c r="N130" s="58" t="str">
        <f>IFERROR(VLOOKUP($A130,[5]실험의뢰_장진영!$A:$M,4,0),"")</f>
        <v>색상 실험(상하용기 무광 코팅, 인쇄있습니다)</v>
      </c>
      <c r="O130" s="59">
        <f>IFERROR(VLOOKUP($A130,[5]실험의뢰_장진영!$A:$M,6,0),"")</f>
        <v>45713</v>
      </c>
      <c r="P130" s="58" t="str">
        <f>IFERROR(VLOOKUP($A130,[5]실험의뢰_장진영!$A:$M,10,0),"")</f>
        <v>ABS (롯데첨단소재 MP-0670)</v>
      </c>
      <c r="Q130" s="58">
        <f>IFERROR(VLOOKUP($A130,[5]실험의뢰_장진영!$A:$M,11,0),"")</f>
        <v>0</v>
      </c>
      <c r="R130" s="58">
        <f>IFERROR(VLOOKUP($A130,[5]실험의뢰_장진영!$A:$M,12,0),"")</f>
        <v>0</v>
      </c>
      <c r="S130" s="58" t="str">
        <f>IFERROR(VLOOKUP($A130,[5]실험의뢰_장진영!$A:$M,13,0),"")</f>
        <v>수량은 프리웍스 있는지 확인해서 조정 가능합니다.</v>
      </c>
      <c r="T130" s="58"/>
    </row>
    <row r="131" spans="1:20" ht="30" customHeight="1">
      <c r="A131" s="58" t="s">
        <v>384</v>
      </c>
      <c r="B131" s="58" t="str">
        <f>IFERROR(VLOOKUP($A131,[5]실험의뢰_장진영!$A:$M,3,0),"")</f>
        <v>미장센 헬로 젤리 팡팡 하용기</v>
      </c>
      <c r="C131" s="58" t="str">
        <f>IFERROR(VLOOKUP($A131,[5]실험의뢰_장진영!$A:$M,9,0),"")</f>
        <v>M241191_02</v>
      </c>
      <c r="D131" s="69" t="str">
        <f>IFERROR(VLOOKUP($A131,[5]실험의뢰_장진영!$A:$M,7,0),"")</f>
        <v>SI1583</v>
      </c>
      <c r="E131" s="1">
        <v>45713</v>
      </c>
      <c r="F131" t="s">
        <v>161</v>
      </c>
      <c r="G131" s="1" t="s">
        <v>164</v>
      </c>
      <c r="H131" t="s">
        <v>387</v>
      </c>
      <c r="I131" s="3">
        <v>5</v>
      </c>
      <c r="J131" s="46">
        <v>29</v>
      </c>
      <c r="L131" s="46" t="str">
        <f>실험지시[[#This Row],[금형코드]]</f>
        <v>M241191_02</v>
      </c>
      <c r="M131" s="60">
        <f>IFERROR(VLOOKUP($A131,[5]실험의뢰_장진영!$A:$M,5,0),"")</f>
        <v>200</v>
      </c>
      <c r="N131" s="58" t="str">
        <f>IFERROR(VLOOKUP($A131,[5]실험의뢰_장진영!$A:$M,4,0),"")</f>
        <v>색상 실험(무광 코팅)</v>
      </c>
      <c r="O131" s="59">
        <f>IFERROR(VLOOKUP($A131,[5]실험의뢰_장진영!$A:$M,6,0),"")</f>
        <v>45713</v>
      </c>
      <c r="P131" s="58" t="str">
        <f>IFERROR(VLOOKUP($A131,[5]실험의뢰_장진영!$A:$M,10,0),"")</f>
        <v>ABS (롯데첨단소재 MP-0670)</v>
      </c>
      <c r="Q131" s="58">
        <f>IFERROR(VLOOKUP($A131,[5]실험의뢰_장진영!$A:$M,11,0),"")</f>
        <v>0</v>
      </c>
      <c r="R131" s="58">
        <f>IFERROR(VLOOKUP($A131,[5]실험의뢰_장진영!$A:$M,12,0),"")</f>
        <v>0</v>
      </c>
      <c r="S131" s="58">
        <f>IFERROR(VLOOKUP($A131,[5]실험의뢰_장진영!$A:$M,13,0),"")</f>
        <v>0</v>
      </c>
      <c r="T131" s="58"/>
    </row>
    <row r="132" spans="1:20" ht="30" customHeight="1">
      <c r="A132" s="58" t="s">
        <v>385</v>
      </c>
      <c r="B132" s="58" t="str">
        <f>IFERROR(VLOOKUP($A132,[5]실험의뢰_장진영!$A:$M,3,0),"")</f>
        <v>미장센 헬로 젤리 팡팡 리필 상용기</v>
      </c>
      <c r="C132" s="58" t="str">
        <f>IFERROR(VLOOKUP($A132,[5]실험의뢰_장진영!$A:$M,9,0),"")</f>
        <v>M241192_02</v>
      </c>
      <c r="D132" s="69" t="str">
        <f>IFERROR(VLOOKUP($A132,[5]실험의뢰_장진영!$A:$M,7,0),"")</f>
        <v>SI1584</v>
      </c>
      <c r="E132" s="1">
        <v>45713</v>
      </c>
      <c r="F132" t="s">
        <v>114</v>
      </c>
      <c r="G132" s="1" t="s">
        <v>366</v>
      </c>
      <c r="H132" t="s">
        <v>388</v>
      </c>
      <c r="I132" s="3" t="s">
        <v>368</v>
      </c>
      <c r="J132" s="46">
        <v>13</v>
      </c>
      <c r="L132" s="46" t="str">
        <f>실험지시[[#This Row],[금형코드]]</f>
        <v>M241192_02</v>
      </c>
      <c r="M132" s="60">
        <f>IFERROR(VLOOKUP($A132,[5]실험의뢰_장진영!$A:$M,5,0),"")</f>
        <v>100</v>
      </c>
      <c r="N132" s="58" t="str">
        <f>IFERROR(VLOOKUP($A132,[5]실험의뢰_장진영!$A:$M,4,0),"")</f>
        <v>색상 실험</v>
      </c>
      <c r="O132" s="59">
        <f>IFERROR(VLOOKUP($A132,[5]실험의뢰_장진영!$A:$M,6,0),"")</f>
        <v>45713</v>
      </c>
      <c r="P132" s="58" t="str">
        <f>IFERROR(VLOOKUP($A132,[5]실험의뢰_장진영!$A:$M,10,0),"")</f>
        <v>LDPE (한화케미칼 5321) (30%)
PP (롯데케미칼 J-560S) (70%)</v>
      </c>
      <c r="Q132" s="58">
        <f>IFERROR(VLOOKUP($A132,[5]실험의뢰_장진영!$A:$M,11,0),"")</f>
        <v>0</v>
      </c>
      <c r="R132" s="58">
        <f>IFERROR(VLOOKUP($A132,[5]실험의뢰_장진영!$A:$M,12,0),"")</f>
        <v>0</v>
      </c>
      <c r="S132" s="58">
        <f>IFERROR(VLOOKUP($A132,[5]실험의뢰_장진영!$A:$M,13,0),"")</f>
        <v>0</v>
      </c>
      <c r="T132" s="58"/>
    </row>
    <row r="133" spans="1:20" ht="30" customHeight="1">
      <c r="A133" s="58" t="s">
        <v>386</v>
      </c>
      <c r="B133" s="58" t="str">
        <f>IFERROR(VLOOKUP($A133,[5]실험의뢰_장진영!$A:$M,3,0),"")</f>
        <v>미장센 헬로 젤리 팡팡 리필 하용기</v>
      </c>
      <c r="C133" s="58" t="str">
        <f>IFERROR(VLOOKUP($A133,[5]실험의뢰_장진영!$A:$M,9,0),"")</f>
        <v>M241193_02</v>
      </c>
      <c r="D133" s="69" t="str">
        <f>IFERROR(VLOOKUP($A133,[5]실험의뢰_장진영!$A:$M,7,0),"")</f>
        <v>SI1585</v>
      </c>
      <c r="E133" s="1">
        <v>45713</v>
      </c>
      <c r="F133" t="s">
        <v>114</v>
      </c>
      <c r="G133" s="1" t="s">
        <v>157</v>
      </c>
      <c r="H133" t="s">
        <v>388</v>
      </c>
      <c r="I133" s="3">
        <v>5</v>
      </c>
      <c r="J133" s="46">
        <v>13</v>
      </c>
      <c r="L133" s="46" t="str">
        <f>실험지시[[#This Row],[금형코드]]</f>
        <v>M241193_02</v>
      </c>
      <c r="M133" s="60">
        <f>IFERROR(VLOOKUP($A133,[5]실험의뢰_장진영!$A:$M,5,0),"")</f>
        <v>100</v>
      </c>
      <c r="N133" s="58" t="str">
        <f>IFERROR(VLOOKUP($A133,[5]실험의뢰_장진영!$A:$M,4,0),"")</f>
        <v>색상 실험</v>
      </c>
      <c r="O133" s="59">
        <f>IFERROR(VLOOKUP($A133,[5]실험의뢰_장진영!$A:$M,6,0),"")</f>
        <v>45713</v>
      </c>
      <c r="P133" s="58" t="str">
        <f>IFERROR(VLOOKUP($A133,[5]실험의뢰_장진영!$A:$M,10,0),"")</f>
        <v>PP (롯데케미칼 J-560S)</v>
      </c>
      <c r="Q133" s="58">
        <f>IFERROR(VLOOKUP($A133,[5]실험의뢰_장진영!$A:$M,11,0),"")</f>
        <v>0</v>
      </c>
      <c r="R133" s="58">
        <f>IFERROR(VLOOKUP($A133,[5]실험의뢰_장진영!$A:$M,12,0),"")</f>
        <v>0</v>
      </c>
      <c r="S133" s="58">
        <f>IFERROR(VLOOKUP($A133,[5]실험의뢰_장진영!$A:$M,13,0),"")</f>
        <v>0</v>
      </c>
      <c r="T133" s="58"/>
    </row>
    <row r="134" spans="1:20" ht="30" customHeight="1">
      <c r="A134" s="58" t="s">
        <v>390</v>
      </c>
      <c r="B134" s="58" t="str">
        <f>IFERROR(VLOOKUP($A134,[5]실험의뢰_장진영!$A:$M,3,0),"")</f>
        <v>설화수 탄력영양크림 EX 견5ML (25AD) 용기 사출</v>
      </c>
      <c r="C134" s="58" t="str">
        <f>IFERROR(VLOOKUP($A134,[5]실험의뢰_장진영!$A:$M,9,0),"")</f>
        <v>M201153</v>
      </c>
      <c r="D134" s="69" t="str">
        <f>IFERROR(VLOOKUP($A134,[5]실험의뢰_장진영!$A:$M,7,0),"")</f>
        <v>SI1578</v>
      </c>
      <c r="E134" s="1">
        <v>45714</v>
      </c>
      <c r="F134" t="s">
        <v>161</v>
      </c>
      <c r="G134" s="1" t="s">
        <v>157</v>
      </c>
      <c r="H134" t="s">
        <v>316</v>
      </c>
      <c r="I134" s="3">
        <v>3</v>
      </c>
      <c r="J134" s="46">
        <v>4</v>
      </c>
      <c r="L134" s="46" t="str">
        <f>실험지시[[#This Row],[금형코드]]</f>
        <v>M201153</v>
      </c>
      <c r="M134" s="60">
        <f>IFERROR(VLOOKUP($A134,[5]실험의뢰_장진영!$A:$M,5,0),"")</f>
        <v>100</v>
      </c>
      <c r="N134" s="58" t="str">
        <f>IFERROR(VLOOKUP($A134,[5]실험의뢰_장진영!$A:$M,4,0),"")</f>
        <v>표견용 - AP에서 인쇄 변경으로 다시 제출 요청함</v>
      </c>
      <c r="O134" s="59">
        <f>IFERROR(VLOOKUP($A134,[5]실험의뢰_장진영!$A:$M,6,0),"")</f>
        <v>0</v>
      </c>
      <c r="P134" s="58">
        <f>IFERROR(VLOOKUP($A134,[5]실험의뢰_장진영!$A:$M,10,0),"")</f>
        <v>0</v>
      </c>
      <c r="Q134" s="58">
        <f>IFERROR(VLOOKUP($A134,[5]실험의뢰_장진영!$A:$M,11,0),"")</f>
        <v>0</v>
      </c>
      <c r="R134" s="58">
        <f>IFERROR(VLOOKUP($A134,[5]실험의뢰_장진영!$A:$M,12,0),"")</f>
        <v>0</v>
      </c>
      <c r="S134" s="58" t="str">
        <f>IFERROR(VLOOKUP($A134,[5]실험의뢰_장진영!$A:$M,13,0),"")</f>
        <v>인쇄 품질, 변경 내용 확인 바람. 특히 글자가 두껍거나 얇거나 높낮이가 치우치면 안됨</v>
      </c>
      <c r="T134" s="58"/>
    </row>
    <row r="135" spans="1:20" ht="30" customHeight="1">
      <c r="A135" s="58" t="s">
        <v>391</v>
      </c>
      <c r="B135" s="58" t="str">
        <f>IFERROR(VLOOKUP($A135,[5]실험의뢰_장진영!$A:$M,3,0),"")</f>
        <v>아이오페 스템Ⅲ 클리니컬 리커버리 크림 50ML(25) 내캡 사출</v>
      </c>
      <c r="C135" s="58" t="str">
        <f>IFERROR(VLOOKUP($A135,[5]실험의뢰_장진영!$A:$M,9,0),"")</f>
        <v>M241343_01</v>
      </c>
      <c r="D135" s="69" t="str">
        <f>IFERROR(VLOOKUP($A135,[5]실험의뢰_장진영!$A:$M,7,0),"")</f>
        <v>SI1542</v>
      </c>
      <c r="E135" s="1">
        <v>45714</v>
      </c>
      <c r="F135" t="s">
        <v>114</v>
      </c>
      <c r="G135" s="1" t="s">
        <v>157</v>
      </c>
      <c r="H135" t="s">
        <v>147</v>
      </c>
      <c r="I135" s="3">
        <v>4</v>
      </c>
      <c r="J135" s="46">
        <v>28</v>
      </c>
      <c r="K135" s="74">
        <v>1212</v>
      </c>
      <c r="L135" s="46" t="str">
        <f>실험지시[[#This Row],[금형코드]]</f>
        <v>M241343_01</v>
      </c>
      <c r="M135" s="60">
        <f>IFERROR(VLOOKUP($A135,[5]실험의뢰_장진영!$A:$M,5,0),"")</f>
        <v>0</v>
      </c>
      <c r="N135" s="58" t="str">
        <f>IFERROR(VLOOKUP($A135,[5]실험의뢰_장진영!$A:$M,4,0),"")</f>
        <v>금형 수리 하단부 레핑 확인</v>
      </c>
      <c r="O135" s="59">
        <f>IFERROR(VLOOKUP($A135,[5]실험의뢰_장진영!$A:$M,6,0),"")</f>
        <v>0</v>
      </c>
      <c r="P135" s="58" t="str">
        <f>IFERROR(VLOOKUP($A135,[5]실험의뢰_장진영!$A:$M,10,0),"")</f>
        <v>PP (롯데케미칼 J-560S)</v>
      </c>
      <c r="Q135" s="58">
        <f>IFERROR(VLOOKUP($A135,[5]실험의뢰_장진영!$A:$M,11,0),"")</f>
        <v>0</v>
      </c>
      <c r="R135" s="58">
        <f>IFERROR(VLOOKUP($A135,[5]실험의뢰_장진영!$A:$M,12,0),"")</f>
        <v>0</v>
      </c>
      <c r="S135" s="58">
        <f>IFERROR(VLOOKUP($A135,[5]실험의뢰_장진영!$A:$M,13,0),"")</f>
        <v>0</v>
      </c>
      <c r="T135" s="58"/>
    </row>
    <row r="136" spans="1:20" ht="30" customHeight="1">
      <c r="A136" s="58" t="s">
        <v>392</v>
      </c>
      <c r="B136" s="58" t="str">
        <f>IFERROR(VLOOKUP($A136,[5]실험의뢰_장진영!$A:$M,3,0),"")</f>
        <v>아이오페 스템Ⅲ 클리니컬 리커버리 크림 50ML(25) 내용기</v>
      </c>
      <c r="C136" s="58" t="str">
        <f>IFERROR(VLOOKUP($A136,[5]실험의뢰_장진영!$A:$M,9,0),"")</f>
        <v>M241341_01</v>
      </c>
      <c r="D136" s="69" t="str">
        <f>IFERROR(VLOOKUP($A136,[5]실험의뢰_장진영!$A:$M,7,0),"")</f>
        <v>SI1543</v>
      </c>
      <c r="E136" s="1">
        <v>45715</v>
      </c>
      <c r="F136" t="s">
        <v>161</v>
      </c>
      <c r="G136" s="1" t="s">
        <v>157</v>
      </c>
      <c r="H136" t="s">
        <v>378</v>
      </c>
      <c r="I136" s="3">
        <v>5</v>
      </c>
      <c r="J136" s="46">
        <v>13</v>
      </c>
      <c r="K136" s="74">
        <v>250205</v>
      </c>
      <c r="L136" s="46" t="str">
        <f>실험지시[[#This Row],[금형코드]]</f>
        <v>M241341_01</v>
      </c>
      <c r="M136" s="60">
        <f>IFERROR(VLOOKUP($A136,[5]실험의뢰_장진영!$A:$M,5,0),"")</f>
        <v>300</v>
      </c>
      <c r="N136" s="58" t="str">
        <f>IFERROR(VLOOKUP($A136,[5]실험의뢰_장진영!$A:$M,4,0),"")</f>
        <v xml:space="preserve">5% 확정 </v>
      </c>
      <c r="O136" s="59">
        <f>IFERROR(VLOOKUP($A136,[5]실험의뢰_장진영!$A:$M,6,0),"")</f>
        <v>0</v>
      </c>
      <c r="P136" s="58" t="str">
        <f>IFERROR(VLOOKUP($A136,[5]실험의뢰_장진영!$A:$M,10,0),"")</f>
        <v>PP (롯데케미칼 J-560S)</v>
      </c>
      <c r="Q136" s="58">
        <f>IFERROR(VLOOKUP($A136,[5]실험의뢰_장진영!$A:$M,11,0),"")</f>
        <v>0</v>
      </c>
      <c r="R136" s="58">
        <f>IFERROR(VLOOKUP($A136,[5]실험의뢰_장진영!$A:$M,12,0),"")</f>
        <v>0</v>
      </c>
      <c r="S136" s="58">
        <f>IFERROR(VLOOKUP($A136,[5]실험의뢰_장진영!$A:$M,13,0),"")</f>
        <v>0</v>
      </c>
      <c r="T136" s="58"/>
    </row>
    <row r="137" spans="1:20" ht="30" customHeight="1">
      <c r="A137" s="58" t="s">
        <v>395</v>
      </c>
      <c r="B137" s="58" t="str">
        <f>IFERROR(VLOOKUP($A137,[5]실험의뢰_장진영!$A:$M,3,0),"")</f>
        <v>프리메라 더 핸드크림 미스트 20ml  케이스</v>
      </c>
      <c r="C137" s="58" t="str">
        <f>IFERROR(VLOOKUP($A137,[5]실험의뢰_장진영!$A:$M,9,0),"")</f>
        <v>M231269</v>
      </c>
      <c r="D137" s="69" t="str">
        <f>IFERROR(VLOOKUP($A137,[5]실험의뢰_장진영!$A:$M,7,0),"")</f>
        <v>SI1595</v>
      </c>
      <c r="E137" s="1">
        <v>45721</v>
      </c>
      <c r="F137" t="s">
        <v>161</v>
      </c>
      <c r="G137" s="1" t="s">
        <v>311</v>
      </c>
      <c r="H137" t="s">
        <v>393</v>
      </c>
      <c r="I137" s="3" t="s">
        <v>394</v>
      </c>
      <c r="J137" s="46">
        <v>16</v>
      </c>
      <c r="L137" s="46" t="str">
        <f>실험지시[[#This Row],[금형코드]]</f>
        <v>M231269</v>
      </c>
      <c r="M137" s="60">
        <f>IFERROR(VLOOKUP($A137,[5]실험의뢰_장진영!$A:$M,5,0),"")</f>
        <v>0</v>
      </c>
      <c r="N137" s="58">
        <f>IFERROR(VLOOKUP($A137,[5]실험의뢰_장진영!$A:$M,4,0),"")</f>
        <v>0</v>
      </c>
      <c r="O137" s="59">
        <f>IFERROR(VLOOKUP($A137,[5]실험의뢰_장진영!$A:$M,6,0),"")</f>
        <v>0</v>
      </c>
      <c r="P137" s="58" t="str">
        <f>IFERROR(VLOOKUP($A137,[5]실험의뢰_장진영!$A:$M,10,0),"")</f>
        <v>HDPE (롯데케미칼 2200J)</v>
      </c>
      <c r="Q137" s="58">
        <f>IFERROR(VLOOKUP($A137,[5]실험의뢰_장진영!$A:$M,11,0),"")</f>
        <v>0</v>
      </c>
      <c r="R137" s="58">
        <f>IFERROR(VLOOKUP($A137,[5]실험의뢰_장진영!$A:$M,12,0),"")</f>
        <v>0</v>
      </c>
      <c r="S137" s="58">
        <f>IFERROR(VLOOKUP($A137,[5]실험의뢰_장진영!$A:$M,13,0),"")</f>
        <v>0</v>
      </c>
      <c r="T137" s="58"/>
    </row>
    <row r="138" spans="1:20" ht="30" customHeight="1">
      <c r="A138" s="58" t="s">
        <v>396</v>
      </c>
      <c r="B138" s="58" t="str">
        <f>IFERROR(VLOOKUP($A138,[5]실험의뢰_장진영!$A:$M,3,0),"")</f>
        <v>PET 사출핀</v>
      </c>
      <c r="C138" s="58" t="str">
        <f>IFERROR(VLOOKUP($A138,[5]실험의뢰_장진영!$A:$M,9,0),"")</f>
        <v>S241013_01</v>
      </c>
      <c r="D138" s="69">
        <f>IFERROR(VLOOKUP($A138,[5]실험의뢰_장진영!$A:$M,7,0),"")</f>
        <v>0</v>
      </c>
      <c r="E138" s="1">
        <v>45722</v>
      </c>
      <c r="F138" t="s">
        <v>74</v>
      </c>
      <c r="G138" s="1" t="s">
        <v>399</v>
      </c>
      <c r="I138" s="3"/>
      <c r="J138" s="46">
        <v>20</v>
      </c>
      <c r="L138" s="46" t="str">
        <f>실험지시[[#This Row],[금형코드]]</f>
        <v>S241013_01</v>
      </c>
      <c r="M138" s="60">
        <f>IFERROR(VLOOKUP($A138,[5]실험의뢰_장진영!$A:$M,5,0),"")</f>
        <v>200</v>
      </c>
      <c r="N138" s="58" t="str">
        <f>IFERROR(VLOOKUP($A138,[5]실험의뢰_장진영!$A:$M,4,0),"")</f>
        <v>J560S, POK 2가지로 사출</v>
      </c>
      <c r="O138" s="59">
        <f>IFERROR(VLOOKUP($A138,[5]실험의뢰_장진영!$A:$M,6,0),"")</f>
        <v>45723</v>
      </c>
      <c r="P138" s="58" t="str">
        <f>IFERROR(VLOOKUP($A138,[5]실험의뢰_장진영!$A:$M,10,0),"")</f>
        <v>PET (SK케미칼 Claro 200)</v>
      </c>
      <c r="Q138" s="58" t="str">
        <f>IFERROR(VLOOKUP($A138,[5]실험의뢰_장진영!$A:$M,11,0),"")</f>
        <v>2가지 원료 네츄럴</v>
      </c>
      <c r="R138" s="58">
        <f>IFERROR(VLOOKUP($A138,[5]실험의뢰_장진영!$A:$M,12,0),"")</f>
        <v>0</v>
      </c>
      <c r="S138" s="58">
        <f>IFERROR(VLOOKUP($A138,[5]실험의뢰_장진영!$A:$M,13,0),"")</f>
        <v>0</v>
      </c>
      <c r="T138" s="58"/>
    </row>
    <row r="139" spans="1:20" ht="30" customHeight="1">
      <c r="A139" s="58" t="s">
        <v>400</v>
      </c>
      <c r="B139" s="58" t="str">
        <f>IFERROR(VLOOKUP($A139,[5]실험의뢰_장진영!$A:$M,3,0),"")</f>
        <v>아모레 원터치캡 45파이</v>
      </c>
      <c r="C139" s="58" t="str">
        <f>IFERROR(VLOOKUP($A139,[5]실험의뢰_장진영!$A:$M,9,0),"")</f>
        <v>A160222</v>
      </c>
      <c r="D139" s="69" t="str">
        <f>IFERROR(VLOOKUP($A139,[5]실험의뢰_장진영!$A:$M,7,0),"")</f>
        <v>SI1597</v>
      </c>
      <c r="E139" s="1">
        <v>45723</v>
      </c>
      <c r="F139" t="s">
        <v>161</v>
      </c>
      <c r="G139" s="1" t="s">
        <v>157</v>
      </c>
      <c r="H139" t="s">
        <v>147</v>
      </c>
      <c r="I139" s="3">
        <v>4</v>
      </c>
      <c r="J139" s="46">
        <v>29</v>
      </c>
      <c r="K139" s="74">
        <v>150515</v>
      </c>
      <c r="L139" s="46" t="str">
        <f>실험지시[[#This Row],[금형코드]]</f>
        <v>A160222</v>
      </c>
      <c r="M139" s="60">
        <f>IFERROR(VLOOKUP($A139,[5]실험의뢰_장진영!$A:$M,5,0),"")</f>
        <v>0</v>
      </c>
      <c r="N139" s="58" t="str">
        <f>IFERROR(VLOOKUP($A139,[5]실험의뢰_장진영!$A:$M,4,0),"")</f>
        <v>아이팩 원터치캡</v>
      </c>
      <c r="O139" s="59">
        <f>IFERROR(VLOOKUP($A139,[5]실험의뢰_장진영!$A:$M,6,0),"")</f>
        <v>0</v>
      </c>
      <c r="P139" s="58" t="str">
        <f>IFERROR(VLOOKUP($A139,[5]실험의뢰_장진영!$A:$M,10,0),"")</f>
        <v>PP (롯데케미칼 JH570S)</v>
      </c>
      <c r="Q139" s="58">
        <f>IFERROR(VLOOKUP($A139,[5]실험의뢰_장진영!$A:$M,11,0),"")</f>
        <v>0</v>
      </c>
      <c r="R139" s="58">
        <f>IFERROR(VLOOKUP($A139,[5]실험의뢰_장진영!$A:$M,12,0),"")</f>
        <v>0</v>
      </c>
      <c r="S139" s="58">
        <f>IFERROR(VLOOKUP($A139,[5]실험의뢰_장진영!$A:$M,13,0),"")</f>
        <v>0</v>
      </c>
      <c r="T139" s="58"/>
    </row>
    <row r="140" spans="1:20" ht="30" customHeight="1">
      <c r="A140" s="58" t="s">
        <v>402</v>
      </c>
      <c r="B140" s="58" t="str">
        <f>IFERROR(VLOOKUP($A140,[5]실험의뢰_장진영!$A:$M,3,0),"")</f>
        <v>라네즈 워터슬리핑마스크 70ML (20AD 외용기</v>
      </c>
      <c r="C140" s="58" t="str">
        <f>IFERROR(VLOOKUP($A140,[5]실험의뢰_장진영!$A:$M,9,0),"")</f>
        <v>M201159_02,M201160_03</v>
      </c>
      <c r="D140" s="69" t="str">
        <f>IFERROR(VLOOKUP($A140,[5]실험의뢰_장진영!$A:$M,7,0),"")</f>
        <v>SI1596</v>
      </c>
      <c r="E140" s="1">
        <v>45735</v>
      </c>
      <c r="F140" t="s">
        <v>114</v>
      </c>
      <c r="G140" s="1" t="s">
        <v>374</v>
      </c>
      <c r="I140" s="3"/>
      <c r="J140" s="46">
        <v>32</v>
      </c>
      <c r="L140" s="46" t="str">
        <f>실험지시[[#This Row],[금형코드]]</f>
        <v>M201159_02,M201160_03</v>
      </c>
      <c r="M140" s="60">
        <f>IFERROR(VLOOKUP($A140,[5]실험의뢰_장진영!$A:$M,5,0),"")</f>
        <v>400</v>
      </c>
      <c r="N140" s="58" t="str">
        <f>IFERROR(VLOOKUP($A140,[5]실험의뢰_장진영!$A:$M,4,0),"")</f>
        <v>워슬마와 바운시 코팅 실험 위해 수량 필요</v>
      </c>
      <c r="O140" s="59" t="str">
        <f>IFERROR(VLOOKUP($A140,[5]실험의뢰_장진영!$A:$M,6,0),"")</f>
        <v>3월 21일</v>
      </c>
      <c r="P140" s="58" t="str">
        <f>IFERROR(VLOOKUP($A140,[5]실험의뢰_장진영!$A:$M,10,0),"")</f>
        <v>AS 82TR</v>
      </c>
      <c r="Q140" s="58">
        <f>IFERROR(VLOOKUP($A140,[5]실험의뢰_장진영!$A:$M,11,0),"")</f>
        <v>0</v>
      </c>
      <c r="R140" s="58">
        <f>IFERROR(VLOOKUP($A140,[5]실험의뢰_장진영!$A:$M,12,0),"")</f>
        <v>0</v>
      </c>
      <c r="S140" s="58">
        <f>IFERROR(VLOOKUP($A140,[5]실험의뢰_장진영!$A:$M,13,0),"")</f>
        <v>0</v>
      </c>
      <c r="T140" s="58"/>
    </row>
    <row r="141" spans="1:20" ht="30" customHeight="1">
      <c r="A141" s="58" t="s">
        <v>403</v>
      </c>
      <c r="B141" s="58" t="str">
        <f>IFERROR(VLOOKUP($A141,[5]실험의뢰_장진영!$A:$M,3,0),"")</f>
        <v>라보에이치 모발강화 트리트먼트 300ml 60파이 장식</v>
      </c>
      <c r="C141" s="58" t="str">
        <f>IFERROR(VLOOKUP($A141,[5]실험의뢰_장진영!$A:$M,9,0),"")</f>
        <v>M241335-01</v>
      </c>
      <c r="D141" s="69" t="str">
        <f>IFERROR(VLOOKUP($A141,[5]실험의뢰_장진영!$A:$M,7,0),"")</f>
        <v>SI1560</v>
      </c>
      <c r="E141" s="1">
        <v>45737</v>
      </c>
      <c r="F141" t="s">
        <v>161</v>
      </c>
      <c r="G141" s="1" t="s">
        <v>157</v>
      </c>
      <c r="H141" t="s">
        <v>307</v>
      </c>
      <c r="I141" s="3">
        <v>5</v>
      </c>
      <c r="J141" s="46">
        <v>23</v>
      </c>
      <c r="K141" s="74">
        <v>250225</v>
      </c>
      <c r="L141" s="46" t="str">
        <f>실험지시[[#This Row],[금형코드]]</f>
        <v>M241335-01</v>
      </c>
      <c r="M141" s="60">
        <f>IFERROR(VLOOKUP($A141,[5]실험의뢰_장진영!$A:$M,5,0),"")</f>
        <v>0</v>
      </c>
      <c r="N141" s="58" t="str">
        <f>IFERROR(VLOOKUP($A141,[5]실험의뢰_장진영!$A:$M,4,0),"")</f>
        <v>수정 확인</v>
      </c>
      <c r="O141" s="59">
        <f>IFERROR(VLOOKUP($A141,[5]실험의뢰_장진영!$A:$M,6,0),"")</f>
        <v>0</v>
      </c>
      <c r="P141" s="58">
        <f>IFERROR(VLOOKUP($A141,[5]실험의뢰_장진영!$A:$M,10,0),"")</f>
        <v>0</v>
      </c>
      <c r="Q141" s="58">
        <f>IFERROR(VLOOKUP($A141,[5]실험의뢰_장진영!$A:$M,11,0),"")</f>
        <v>0</v>
      </c>
      <c r="R141" s="58">
        <f>IFERROR(VLOOKUP($A141,[5]실험의뢰_장진영!$A:$M,12,0),"")</f>
        <v>0</v>
      </c>
      <c r="S141" s="58">
        <f>IFERROR(VLOOKUP($A141,[5]실험의뢰_장진영!$A:$M,13,0),"")</f>
        <v>0</v>
      </c>
      <c r="T141" s="58"/>
    </row>
    <row r="142" spans="1:20" ht="30" customHeight="1">
      <c r="A142" s="58" t="s">
        <v>404</v>
      </c>
      <c r="B142" s="58" t="str">
        <f>IFERROR(VLOOKUP($A142,[5]실험의뢰_장진영!$A:$M,3,0),"")</f>
        <v>라보에이치 모발강화 트리트먼트 200ml 50파이 장식</v>
      </c>
      <c r="C142" s="58" t="str">
        <f>IFERROR(VLOOKUP($A142,[5]실험의뢰_장진영!$A:$M,9,0),"")</f>
        <v>M241331-01</v>
      </c>
      <c r="D142" s="69" t="str">
        <f>IFERROR(VLOOKUP($A142,[5]실험의뢰_장진영!$A:$M,7,0),"")</f>
        <v>SI1558</v>
      </c>
      <c r="E142" s="1">
        <v>45737</v>
      </c>
      <c r="F142" t="s">
        <v>161</v>
      </c>
      <c r="G142" s="1" t="s">
        <v>157</v>
      </c>
      <c r="H142" t="s">
        <v>307</v>
      </c>
      <c r="I142" s="3">
        <v>5</v>
      </c>
      <c r="J142" s="46">
        <v>23</v>
      </c>
      <c r="K142" s="74">
        <v>250305</v>
      </c>
      <c r="L142" s="46" t="str">
        <f>실험지시[[#This Row],[금형코드]]</f>
        <v>M241331-01</v>
      </c>
      <c r="M142" s="60">
        <f>IFERROR(VLOOKUP($A142,[5]실험의뢰_장진영!$A:$M,5,0),"")</f>
        <v>0</v>
      </c>
      <c r="N142" s="58" t="str">
        <f>IFERROR(VLOOKUP($A142,[5]실험의뢰_장진영!$A:$M,4,0),"")</f>
        <v>수정 확인</v>
      </c>
      <c r="O142" s="59">
        <f>IFERROR(VLOOKUP($A142,[5]실험의뢰_장진영!$A:$M,6,0),"")</f>
        <v>0</v>
      </c>
      <c r="P142" s="58" t="str">
        <f>IFERROR(VLOOKUP($A142,[5]실험의뢰_장진영!$A:$M,10,0),"")</f>
        <v>PP (롯데케미칼 J-560S)</v>
      </c>
      <c r="Q142" s="58">
        <f>IFERROR(VLOOKUP($A142,[5]실험의뢰_장진영!$A:$M,11,0),"")</f>
        <v>0</v>
      </c>
      <c r="R142" s="58">
        <f>IFERROR(VLOOKUP($A142,[5]실험의뢰_장진영!$A:$M,12,0),"")</f>
        <v>0</v>
      </c>
      <c r="S142" s="58">
        <f>IFERROR(VLOOKUP($A142,[5]실험의뢰_장진영!$A:$M,13,0),"")</f>
        <v>0</v>
      </c>
      <c r="T142" s="58"/>
    </row>
    <row r="143" spans="1:20" ht="30" customHeight="1">
      <c r="A143" s="58" t="s">
        <v>405</v>
      </c>
      <c r="B143" s="58" t="str">
        <f>IFERROR(VLOOKUP($A143,[5]실험의뢰_장진영!$A:$M,3,0),"")</f>
        <v>라네즈 워터슬리핑마스크 70ML (20AD 단캡</v>
      </c>
      <c r="C143" s="58" t="str">
        <f>IFERROR(VLOOKUP($A143,[5]실험의뢰_장진영!$A:$M,9,0),"")</f>
        <v>M201156_02,M201161_03</v>
      </c>
      <c r="D143" s="69" t="str">
        <f>IFERROR(VLOOKUP($A143,[5]실험의뢰_장진영!$A:$M,7,0),"")</f>
        <v>SI1591</v>
      </c>
      <c r="E143" s="1">
        <v>45740</v>
      </c>
      <c r="F143" t="s">
        <v>161</v>
      </c>
      <c r="G143" s="1" t="s">
        <v>398</v>
      </c>
      <c r="H143" t="s">
        <v>406</v>
      </c>
      <c r="I143" s="3">
        <v>4</v>
      </c>
      <c r="J143" s="46">
        <v>29</v>
      </c>
      <c r="L143" s="46" t="str">
        <f>실험지시[[#This Row],[금형코드]]</f>
        <v>M201156_02,M201161_03</v>
      </c>
      <c r="M143" s="60">
        <f>IFERROR(VLOOKUP($A143,[5]실험의뢰_장진영!$A:$M,5,0),"")</f>
        <v>0</v>
      </c>
      <c r="N143" s="58" t="str">
        <f>IFERROR(VLOOKUP($A143,[5]실험의뢰_장진영!$A:$M,4,0),"")</f>
        <v>색상실험</v>
      </c>
      <c r="O143" s="59">
        <f>IFERROR(VLOOKUP($A143,[5]실험의뢰_장진영!$A:$M,6,0),"")</f>
        <v>0</v>
      </c>
      <c r="P143" s="58" t="str">
        <f>IFERROR(VLOOKUP($A143,[5]실험의뢰_장진영!$A:$M,10,0),"")</f>
        <v>PP (다원소재 DW-2360)</v>
      </c>
      <c r="Q143" s="58" t="str">
        <f>IFERROR(VLOOKUP($A143,[5]실험의뢰_장진영!$A:$M,11,0),"")</f>
        <v>DG250320(X-82)</v>
      </c>
      <c r="R143" s="58">
        <f>IFERROR(VLOOKUP($A143,[5]실험의뢰_장진영!$A:$M,12,0),"")</f>
        <v>0</v>
      </c>
      <c r="S143" s="58">
        <f>IFERROR(VLOOKUP($A143,[5]실험의뢰_장진영!$A:$M,13,0),"")</f>
        <v>0</v>
      </c>
      <c r="T143" s="58"/>
    </row>
    <row r="144" spans="1:20" ht="30" customHeight="1">
      <c r="A144" s="58" t="s">
        <v>407</v>
      </c>
      <c r="B144" s="58" t="str">
        <f>IFERROR(VLOOKUP($A144,[5]실험의뢰_장진영!$A:$M,3,0),"")</f>
        <v>라네즈 바운시슬리핑마스크 70ML (20AD 내용기</v>
      </c>
      <c r="C144" s="58" t="str">
        <f>IFERROR(VLOOKUP($A144,[5]실험의뢰_장진영!$A:$M,9,0),"")</f>
        <v>M201158_02</v>
      </c>
      <c r="D144" s="69" t="str">
        <f>IFERROR(VLOOKUP($A144,[5]실험의뢰_장진영!$A:$M,7,0),"")</f>
        <v>SI1599</v>
      </c>
      <c r="E144" s="1">
        <v>45743</v>
      </c>
      <c r="F144" t="s">
        <v>161</v>
      </c>
      <c r="G144" s="1" t="s">
        <v>157</v>
      </c>
      <c r="H144" t="s">
        <v>408</v>
      </c>
      <c r="I144" s="3">
        <v>2.5</v>
      </c>
      <c r="J144" s="46">
        <v>13</v>
      </c>
      <c r="L144" s="46" t="str">
        <f>실험지시[[#This Row],[금형코드]]</f>
        <v>M201158_02</v>
      </c>
      <c r="M144" s="60">
        <f>IFERROR(VLOOKUP($A144,[5]실험의뢰_장진영!$A:$M,5,0),"")</f>
        <v>100</v>
      </c>
      <c r="N144" s="58" t="str">
        <f>IFERROR(VLOOKUP($A144,[5]실험의뢰_장진영!$A:$M,4,0),"")</f>
        <v>색상 실험, 제품명 수정 요청(바운시)</v>
      </c>
      <c r="O144" s="59">
        <f>IFERROR(VLOOKUP($A144,[5]실험의뢰_장진영!$A:$M,6,0),"")</f>
        <v>45748</v>
      </c>
      <c r="P144" s="58" t="str">
        <f>IFERROR(VLOOKUP($A144,[5]실험의뢰_장진영!$A:$M,10,0),"")</f>
        <v>PP (롯데케미칼 J-560S)</v>
      </c>
      <c r="Q144" s="58">
        <f>IFERROR(VLOOKUP($A144,[5]실험의뢰_장진영!$A:$M,11,0),"")</f>
        <v>0</v>
      </c>
      <c r="R144" s="58">
        <f>IFERROR(VLOOKUP($A144,[5]실험의뢰_장진영!$A:$M,12,0),"")</f>
        <v>0</v>
      </c>
      <c r="S144" s="58">
        <f>IFERROR(VLOOKUP($A144,[5]실험의뢰_장진영!$A:$M,13,0),"")</f>
        <v>0</v>
      </c>
      <c r="T144" s="58"/>
    </row>
    <row r="145" spans="1:20" ht="30" customHeight="1">
      <c r="A145" s="58" t="s">
        <v>410</v>
      </c>
      <c r="B145" s="58" t="str">
        <f>IFERROR(VLOOKUP($A145,[5]실험의뢰_장진영!$A:$M,3,0),"")</f>
        <v>프리메라 더 핸드크림 미스트 20ml  케이스</v>
      </c>
      <c r="C145" s="58" t="str">
        <f>IFERROR(VLOOKUP($A145,[5]실험의뢰_장진영!$A:$M,9,0),"")</f>
        <v>M231269</v>
      </c>
      <c r="D145" s="69" t="str">
        <f>IFERROR(VLOOKUP($A145,[5]실험의뢰_장진영!$A:$M,7,0),"")</f>
        <v>SI1595</v>
      </c>
      <c r="E145" s="1">
        <v>45748</v>
      </c>
      <c r="F145" t="s">
        <v>114</v>
      </c>
      <c r="G145" s="1" t="s">
        <v>311</v>
      </c>
      <c r="H145" t="s">
        <v>409</v>
      </c>
      <c r="I145" s="3">
        <v>3</v>
      </c>
      <c r="L145" s="46" t="str">
        <f>실험지시[[#This Row],[금형코드]]</f>
        <v>M231269</v>
      </c>
      <c r="M145" s="60">
        <f>IFERROR(VLOOKUP($A145,[5]실험의뢰_장진영!$A:$M,5,0),"")</f>
        <v>0</v>
      </c>
      <c r="N145" s="58" t="str">
        <f>IFERROR(VLOOKUP($A145,[5]실험의뢰_장진영!$A:$M,4,0),"")</f>
        <v>KS25-0314-14</v>
      </c>
      <c r="O145" s="59">
        <f>IFERROR(VLOOKUP($A145,[5]실험의뢰_장진영!$A:$M,6,0),"")</f>
        <v>45749</v>
      </c>
      <c r="P145" s="58" t="str">
        <f>IFERROR(VLOOKUP($A145,[5]실험의뢰_장진영!$A:$M,10,0),"")</f>
        <v>HDPE (롯데케미칼 2200J)</v>
      </c>
      <c r="Q145" s="58">
        <f>IFERROR(VLOOKUP($A145,[5]실험의뢰_장진영!$A:$M,11,0),"")</f>
        <v>0</v>
      </c>
      <c r="R145" s="58">
        <f>IFERROR(VLOOKUP($A145,[5]실험의뢰_장진영!$A:$M,12,0),"")</f>
        <v>0</v>
      </c>
      <c r="S145" s="58">
        <f>IFERROR(VLOOKUP($A145,[5]실험의뢰_장진영!$A:$M,13,0),"")</f>
        <v>0</v>
      </c>
      <c r="T145" s="58"/>
    </row>
    <row r="146" spans="1:20" ht="30" customHeight="1">
      <c r="A146" s="58" t="s">
        <v>411</v>
      </c>
      <c r="B146" s="58" t="str">
        <f>IFERROR(VLOOKUP($A146,[5]실험의뢰_장진영!$A:$M,3,0),"")</f>
        <v>미쟝센 퍼펙트 오일 인퓨전 헤어 마스크150g(25 단캡</v>
      </c>
      <c r="C146" s="58" t="str">
        <f>IFERROR(VLOOKUP($A146,[5]실험의뢰_장진영!$A:$M,9,0),"")</f>
        <v>M251058_01</v>
      </c>
      <c r="D146" s="69" t="str">
        <f>IFERROR(VLOOKUP($A146,[5]실험의뢰_장진영!$A:$M,7,0),"")</f>
        <v>SI1600</v>
      </c>
      <c r="E146" s="1">
        <v>45751</v>
      </c>
      <c r="F146" t="s">
        <v>74</v>
      </c>
      <c r="G146" s="1" t="s">
        <v>157</v>
      </c>
      <c r="H146" t="s">
        <v>413</v>
      </c>
      <c r="I146" s="3">
        <v>3</v>
      </c>
      <c r="J146" s="46">
        <v>12</v>
      </c>
      <c r="L146" s="46" t="str">
        <f>실험지시[[#This Row],[금형코드]]</f>
        <v>M251058_01</v>
      </c>
      <c r="M146" s="60">
        <f>IFERROR(VLOOKUP($A146,[5]실험의뢰_장진영!$A:$M,5,0),"")</f>
        <v>50</v>
      </c>
      <c r="N146" s="58" t="str">
        <f>IFERROR(VLOOKUP($A146,[5]실험의뢰_장진영!$A:$M,4,0),"")</f>
        <v>T1 수축 확인해야 함, 조건으로 안되면 금형 수정예정</v>
      </c>
      <c r="O146" s="59">
        <f>IFERROR(VLOOKUP($A146,[5]실험의뢰_장진영!$A:$M,6,0),"")</f>
        <v>0</v>
      </c>
      <c r="P146" s="58" t="str">
        <f>IFERROR(VLOOKUP($A146,[5]실험의뢰_장진영!$A:$M,10,0),"")</f>
        <v>PP (롯데케미칼 J-560S)</v>
      </c>
      <c r="Q146" s="58">
        <f>IFERROR(VLOOKUP($A146,[5]실험의뢰_장진영!$A:$M,11,0),"")</f>
        <v>0</v>
      </c>
      <c r="R146" s="58">
        <f>IFERROR(VLOOKUP($A146,[5]실험의뢰_장진영!$A:$M,12,0),"")</f>
        <v>0</v>
      </c>
      <c r="S146" s="58">
        <f>IFERROR(VLOOKUP($A146,[5]실험의뢰_장진영!$A:$M,13,0),"")</f>
        <v>0</v>
      </c>
      <c r="T146" s="58"/>
    </row>
    <row r="147" spans="1:20" ht="30" customHeight="1">
      <c r="A147" s="58" t="s">
        <v>412</v>
      </c>
      <c r="B147" s="58" t="str">
        <f>IFERROR(VLOOKUP($A147,[5]실험의뢰_장진영!$A:$M,3,0),"")</f>
        <v>미쟝센 퍼펙트 오일 인퓨전 헤어 마스크150g(25 단용기</v>
      </c>
      <c r="C147" s="58" t="str">
        <f>IFERROR(VLOOKUP($A147,[5]실험의뢰_장진영!$A:$M,9,0),"")</f>
        <v>M251059_01</v>
      </c>
      <c r="D147" s="69" t="str">
        <f>IFERROR(VLOOKUP($A147,[5]실험의뢰_장진영!$A:$M,7,0),"")</f>
        <v>SI1601</v>
      </c>
      <c r="E147" s="1">
        <v>45751</v>
      </c>
      <c r="F147" t="s">
        <v>74</v>
      </c>
      <c r="G147" s="1" t="s">
        <v>157</v>
      </c>
      <c r="H147" t="s">
        <v>413</v>
      </c>
      <c r="I147" s="3">
        <v>3</v>
      </c>
      <c r="J147" s="46">
        <v>32</v>
      </c>
      <c r="L147" s="46" t="str">
        <f>실험지시[[#This Row],[금형코드]]</f>
        <v>M251059_01</v>
      </c>
      <c r="M147" s="60">
        <f>IFERROR(VLOOKUP($A147,[5]실험의뢰_장진영!$A:$M,5,0),"")</f>
        <v>50</v>
      </c>
      <c r="N147" s="58" t="str">
        <f>IFERROR(VLOOKUP($A147,[5]실험의뢰_장진영!$A:$M,4,0),"")</f>
        <v>T1</v>
      </c>
      <c r="O147" s="59">
        <f>IFERROR(VLOOKUP($A147,[5]실험의뢰_장진영!$A:$M,6,0),"")</f>
        <v>0</v>
      </c>
      <c r="P147" s="58" t="str">
        <f>IFERROR(VLOOKUP($A147,[5]실험의뢰_장진영!$A:$M,10,0),"")</f>
        <v>PP (롯데케미칼 J-560S)</v>
      </c>
      <c r="Q147" s="58">
        <f>IFERROR(VLOOKUP($A147,[5]실험의뢰_장진영!$A:$M,11,0),"")</f>
        <v>0</v>
      </c>
      <c r="R147" s="58">
        <f>IFERROR(VLOOKUP($A147,[5]실험의뢰_장진영!$A:$M,12,0),"")</f>
        <v>0</v>
      </c>
      <c r="S147" s="58">
        <f>IFERROR(VLOOKUP($A147,[5]실험의뢰_장진영!$A:$M,13,0),"")</f>
        <v>0</v>
      </c>
      <c r="T147" s="58"/>
    </row>
    <row r="148" spans="1:20" ht="30" customHeight="1">
      <c r="A148" s="58" t="s">
        <v>414</v>
      </c>
      <c r="B148" s="58" t="str">
        <f>IFERROR(VLOOKUP($A148,[5]실험의뢰_장진영!$A:$M,3,0),"")</f>
        <v>라네즈 바운시슬리핑마스크 70ML (20AD 단캡</v>
      </c>
      <c r="C148" s="58" t="str">
        <f>IFERROR(VLOOKUP($A148,[5]실험의뢰_장진영!$A:$M,9,0),"")</f>
        <v>M201156_02,M201161_03</v>
      </c>
      <c r="D148" s="69" t="str">
        <f>IFERROR(VLOOKUP($A148,[5]실험의뢰_장진영!$A:$M,7,0),"")</f>
        <v>SI1598</v>
      </c>
      <c r="E148" s="1">
        <v>45756</v>
      </c>
      <c r="F148" t="s">
        <v>161</v>
      </c>
      <c r="G148" s="1" t="s">
        <v>341</v>
      </c>
      <c r="H148" t="s">
        <v>415</v>
      </c>
      <c r="I148" s="3">
        <v>4</v>
      </c>
      <c r="J148" s="46">
        <v>4</v>
      </c>
      <c r="L148" s="46" t="str">
        <f>실험지시[[#This Row],[금형코드]]</f>
        <v>M201156_02,M201161_03</v>
      </c>
      <c r="M148" s="60">
        <f>IFERROR(VLOOKUP($A148,[5]실험의뢰_장진영!$A:$M,5,0),"")</f>
        <v>0</v>
      </c>
      <c r="N148" s="58" t="str">
        <f>IFERROR(VLOOKUP($A148,[5]실험의뢰_장진영!$A:$M,4,0),"")</f>
        <v>색상 실험 및 다원 원료 실험</v>
      </c>
      <c r="O148" s="59">
        <f>IFERROR(VLOOKUP($A148,[5]실험의뢰_장진영!$A:$M,6,0),"")</f>
        <v>0</v>
      </c>
      <c r="P148" s="58" t="str">
        <f>IFERROR(VLOOKUP($A148,[5]실험의뢰_장진영!$A:$M,10,0),"")</f>
        <v>PP (다원소재 DW-2360)</v>
      </c>
      <c r="Q148" s="58">
        <f>IFERROR(VLOOKUP($A148,[5]실험의뢰_장진영!$A:$M,11,0),"")</f>
        <v>0</v>
      </c>
      <c r="R148" s="58">
        <f>IFERROR(VLOOKUP($A148,[5]실험의뢰_장진영!$A:$M,12,0),"")</f>
        <v>0</v>
      </c>
      <c r="S148" s="58">
        <f>IFERROR(VLOOKUP($A148,[5]실험의뢰_장진영!$A:$M,13,0),"")</f>
        <v>0</v>
      </c>
      <c r="T148" s="58"/>
    </row>
    <row r="149" spans="1:20" ht="30" customHeight="1">
      <c r="A149" s="58" t="s">
        <v>416</v>
      </c>
      <c r="B149" s="58" t="str">
        <f>IFERROR(VLOOKUP($A149,[5]실험의뢰_장진영!$A:$M,3,0),"")</f>
        <v>라네즈 워터슬리핑마스크 70ML (20AD 단캡</v>
      </c>
      <c r="C149" s="58" t="str">
        <f>IFERROR(VLOOKUP($A149,[5]실험의뢰_장진영!$A:$M,9,0),"")</f>
        <v>M201156_02,M201161_03</v>
      </c>
      <c r="D149" s="69" t="str">
        <f>IFERROR(VLOOKUP($A149,[5]실험의뢰_장진영!$A:$M,7,0),"")</f>
        <v>SI1591</v>
      </c>
      <c r="E149" s="1">
        <v>45756</v>
      </c>
      <c r="F149" t="s">
        <v>161</v>
      </c>
      <c r="G149" s="1" t="s">
        <v>341</v>
      </c>
      <c r="H149" t="s">
        <v>342</v>
      </c>
      <c r="I149" s="3">
        <v>3</v>
      </c>
      <c r="J149" s="46">
        <v>4</v>
      </c>
      <c r="L149" s="46" t="str">
        <f>실험지시[[#This Row],[금형코드]]</f>
        <v>M201156_02,M201161_03</v>
      </c>
      <c r="M149" s="60">
        <f>IFERROR(VLOOKUP($A149,[5]실험의뢰_장진영!$A:$M,5,0),"")</f>
        <v>200</v>
      </c>
      <c r="N149" s="58" t="str">
        <f>IFERROR(VLOOKUP($A149,[5]실험의뢰_장진영!$A:$M,4,0),"")</f>
        <v>후가공테스트, 표견용 및 후가공 2원화 샘플링용</v>
      </c>
      <c r="O149" s="59">
        <f>IFERROR(VLOOKUP($A149,[5]실험의뢰_장진영!$A:$M,6,0),"")</f>
        <v>45758</v>
      </c>
      <c r="P149" s="58" t="str">
        <f>IFERROR(VLOOKUP($A149,[5]실험의뢰_장진영!$A:$M,10,0),"")</f>
        <v>PP (다원소재 DW-2360)</v>
      </c>
      <c r="Q149" s="58">
        <f>IFERROR(VLOOKUP($A149,[5]실험의뢰_장진영!$A:$M,11,0),"")</f>
        <v>0</v>
      </c>
      <c r="R149" s="58">
        <f>IFERROR(VLOOKUP($A149,[5]실험의뢰_장진영!$A:$M,12,0),"")</f>
        <v>0</v>
      </c>
      <c r="S149" s="58">
        <f>IFERROR(VLOOKUP($A149,[5]실험의뢰_장진영!$A:$M,13,0),"")</f>
        <v>0</v>
      </c>
      <c r="T149" s="58"/>
    </row>
    <row r="150" spans="1:20" ht="30" customHeight="1">
      <c r="A150" s="58" t="s">
        <v>422</v>
      </c>
      <c r="B150" s="58" t="str">
        <f>IFERROR(VLOOKUP($A150,[5]실험의뢰_장진영!$A:$M,3,0),"")</f>
        <v>프리메라 더 핸드크림 미스트 20ml  케이스</v>
      </c>
      <c r="C150" s="58" t="str">
        <f>IFERROR(VLOOKUP($A150,[5]실험의뢰_장진영!$A:$M,9,0),"")</f>
        <v>M231269</v>
      </c>
      <c r="D150" s="69" t="str">
        <f>IFERROR(VLOOKUP($A150,[5]실험의뢰_장진영!$A:$M,7,0),"")</f>
        <v>SI1595</v>
      </c>
      <c r="E150" s="1">
        <v>45765</v>
      </c>
      <c r="F150" t="s">
        <v>288</v>
      </c>
      <c r="G150" s="1" t="s">
        <v>311</v>
      </c>
      <c r="H150" t="s">
        <v>417</v>
      </c>
      <c r="I150" s="3">
        <v>3</v>
      </c>
      <c r="J150" s="46">
        <v>26</v>
      </c>
      <c r="L150" s="46" t="str">
        <f>실험지시[[#This Row],[금형코드]]</f>
        <v>M231269</v>
      </c>
      <c r="M150" s="60">
        <f>IFERROR(VLOOKUP($A150,[5]실험의뢰_장진영!$A:$M,5,0),"")</f>
        <v>100</v>
      </c>
      <c r="N150" s="58" t="str">
        <f>IFERROR(VLOOKUP($A150,[5]실험의뢰_장진영!$A:$M,4,0),"")</f>
        <v>색상 실험</v>
      </c>
      <c r="O150" s="59">
        <f>IFERROR(VLOOKUP($A150,[5]실험의뢰_장진영!$A:$M,6,0),"")</f>
        <v>0</v>
      </c>
      <c r="P150" s="58" t="str">
        <f>IFERROR(VLOOKUP($A150,[5]실험의뢰_장진영!$A:$M,10,0),"")</f>
        <v>HDPE (롯데케미칼 2200J)</v>
      </c>
      <c r="Q150" s="58">
        <f>IFERROR(VLOOKUP($A150,[5]실험의뢰_장진영!$A:$M,11,0),"")</f>
        <v>0</v>
      </c>
      <c r="R150" s="58">
        <f>IFERROR(VLOOKUP($A150,[5]실험의뢰_장진영!$A:$M,12,0),"")</f>
        <v>0</v>
      </c>
      <c r="S150" s="58">
        <f>IFERROR(VLOOKUP($A150,[5]실험의뢰_장진영!$A:$M,13,0),"")</f>
        <v>0</v>
      </c>
      <c r="T150" s="58"/>
    </row>
    <row r="151" spans="1:20" ht="30" customHeight="1">
      <c r="A151" s="58" t="s">
        <v>418</v>
      </c>
      <c r="B151" s="58" t="str">
        <f>IFERROR(VLOOKUP($A151,[5]실험의뢰_장진영!$A:$M,3,0),"")</f>
        <v>라보에이치 모발강화 트리트먼트 300ml 60파이 원터치캡</v>
      </c>
      <c r="C151" s="58" t="str">
        <f>IFERROR(VLOOKUP($A151,[5]실험의뢰_장진영!$A:$M,9,0),"")</f>
        <v>M241336-01</v>
      </c>
      <c r="D151" s="69" t="str">
        <f>IFERROR(VLOOKUP($A151,[5]실험의뢰_장진영!$A:$M,7,0),"")</f>
        <v>SI1559</v>
      </c>
      <c r="E151" s="1">
        <v>45762</v>
      </c>
      <c r="F151" t="s">
        <v>74</v>
      </c>
      <c r="G151" s="1" t="s">
        <v>157</v>
      </c>
      <c r="H151" t="s">
        <v>419</v>
      </c>
      <c r="I151" s="3">
        <v>5</v>
      </c>
      <c r="J151" s="46">
        <v>29</v>
      </c>
      <c r="L151" s="46" t="str">
        <f>실험지시[[#This Row],[금형코드]]</f>
        <v>M241336-01</v>
      </c>
      <c r="M151" s="60">
        <f>IFERROR(VLOOKUP($A151,[5]실험의뢰_장진영!$A:$M,5,0),"")</f>
        <v>150</v>
      </c>
      <c r="N151" s="58" t="str">
        <f>IFERROR(VLOOKUP($A151,[5]실험의뢰_장진영!$A:$M,4,0),"")</f>
        <v>열림강도 때문에 다시 사출, 아이팩에도 보내고 표견도 만들어야 함</v>
      </c>
      <c r="O151" s="59">
        <f>IFERROR(VLOOKUP($A151,[5]실험의뢰_장진영!$A:$M,6,0),"")</f>
        <v>45765</v>
      </c>
      <c r="P151" s="58">
        <f>IFERROR(VLOOKUP($A151,[5]실험의뢰_장진영!$A:$M,10,0),"")</f>
        <v>0</v>
      </c>
      <c r="Q151" s="58">
        <f>IFERROR(VLOOKUP($A151,[5]실험의뢰_장진영!$A:$M,11,0),"")</f>
        <v>0</v>
      </c>
      <c r="R151" s="58">
        <f>IFERROR(VLOOKUP($A151,[5]실험의뢰_장진영!$A:$M,12,0),"")</f>
        <v>0</v>
      </c>
      <c r="S151" s="58">
        <f>IFERROR(VLOOKUP($A151,[5]실험의뢰_장진영!$A:$M,13,0),"")</f>
        <v>0</v>
      </c>
      <c r="T151" s="58"/>
    </row>
    <row r="152" spans="1:20" ht="30" customHeight="1">
      <c r="A152" s="58" t="s">
        <v>420</v>
      </c>
      <c r="B152" s="58" t="str">
        <f>IFERROR(VLOOKUP($A152,[5]실험의뢰_장진영!$A:$M,3,0),"")</f>
        <v>미쟝센 퍼펙트 오일 인퓨전 헤어 마스크150g(25 단캡</v>
      </c>
      <c r="C152" s="58" t="str">
        <f>IFERROR(VLOOKUP($A152,[5]실험의뢰_장진영!$A:$M,9,0),"")</f>
        <v>M251058_01</v>
      </c>
      <c r="D152" s="69" t="str">
        <f>IFERROR(VLOOKUP($A152,[5]실험의뢰_장진영!$A:$M,7,0),"")</f>
        <v>SI1600</v>
      </c>
      <c r="E152" s="1">
        <v>45768</v>
      </c>
      <c r="F152" t="s">
        <v>74</v>
      </c>
      <c r="G152" s="1" t="s">
        <v>152</v>
      </c>
      <c r="H152" t="s">
        <v>413</v>
      </c>
      <c r="I152" s="3">
        <v>3</v>
      </c>
      <c r="J152" s="46">
        <v>12</v>
      </c>
      <c r="K152" s="74">
        <v>250304</v>
      </c>
      <c r="L152" s="46" t="str">
        <f>실험지시[[#This Row],[금형코드]]</f>
        <v>M251058_01</v>
      </c>
      <c r="M152" s="60">
        <f>IFERROR(VLOOKUP($A152,[5]실험의뢰_장진영!$A:$M,5,0),"")</f>
        <v>200</v>
      </c>
      <c r="N152" s="58" t="str">
        <f>IFERROR(VLOOKUP($A152,[5]실험의뢰_장진영!$A:$M,4,0),"")</f>
        <v>T2 실험, 수정사항 점검 용 * DW2360도 색상 맞춰서 같이 실험(30ea)</v>
      </c>
      <c r="O152" s="59">
        <f>IFERROR(VLOOKUP($A152,[5]실험의뢰_장진영!$A:$M,6,0),"")</f>
        <v>45768</v>
      </c>
      <c r="P152" s="58" t="str">
        <f>IFERROR(VLOOKUP($A152,[5]실험의뢰_장진영!$A:$M,10,0),"")</f>
        <v>PP (롯데케미칼 J-560S)</v>
      </c>
      <c r="Q152" s="58">
        <f>IFERROR(VLOOKUP($A152,[5]실험의뢰_장진영!$A:$M,11,0),"")</f>
        <v>0</v>
      </c>
      <c r="R152" s="58">
        <f>IFERROR(VLOOKUP($A152,[5]실험의뢰_장진영!$A:$M,12,0),"")</f>
        <v>0</v>
      </c>
      <c r="S152" s="58">
        <f>IFERROR(VLOOKUP($A152,[5]실험의뢰_장진영!$A:$M,13,0),"")</f>
        <v>0</v>
      </c>
      <c r="T152" s="58"/>
    </row>
    <row r="153" spans="1:20" ht="30" customHeight="1">
      <c r="A153" s="58" t="s">
        <v>421</v>
      </c>
      <c r="B153" s="58" t="str">
        <f>IFERROR(VLOOKUP($A153,[5]실험의뢰_장진영!$A:$M,3,0),"")</f>
        <v>미쟝센 퍼펙트 오일 인퓨전 헤어 마스크150g(25 단용기</v>
      </c>
      <c r="C153" s="58" t="str">
        <f>IFERROR(VLOOKUP($A153,[5]실험의뢰_장진영!$A:$M,9,0),"")</f>
        <v>M251059_01</v>
      </c>
      <c r="D153" s="69" t="str">
        <f>IFERROR(VLOOKUP($A153,[5]실험의뢰_장진영!$A:$M,7,0),"")</f>
        <v>SI1601</v>
      </c>
      <c r="E153" s="1">
        <v>45765</v>
      </c>
      <c r="F153" t="s">
        <v>74</v>
      </c>
      <c r="G153" s="1" t="s">
        <v>157</v>
      </c>
      <c r="H153" t="s">
        <v>413</v>
      </c>
      <c r="I153" s="3">
        <v>3</v>
      </c>
      <c r="J153" s="46">
        <v>32</v>
      </c>
      <c r="K153" s="74">
        <v>250304</v>
      </c>
      <c r="L153" s="46" t="str">
        <f>실험지시[[#This Row],[금형코드]]</f>
        <v>M251059_01</v>
      </c>
      <c r="M153" s="60">
        <f>IFERROR(VLOOKUP($A153,[5]실험의뢰_장진영!$A:$M,5,0),"")</f>
        <v>200</v>
      </c>
      <c r="N153" s="58" t="str">
        <f>IFERROR(VLOOKUP($A153,[5]실험의뢰_장진영!$A:$M,4,0),"")</f>
        <v>담당자가 기능테스트(30) 및 라인테스트용(100+α)로 사출요청</v>
      </c>
      <c r="O153" s="59">
        <f>IFERROR(VLOOKUP($A153,[5]실험의뢰_장진영!$A:$M,6,0),"")</f>
        <v>45768</v>
      </c>
      <c r="P153" s="58" t="str">
        <f>IFERROR(VLOOKUP($A153,[5]실험의뢰_장진영!$A:$M,10,0),"")</f>
        <v>PP (롯데케미칼 J-560S)</v>
      </c>
      <c r="Q153" s="58">
        <f>IFERROR(VLOOKUP($A153,[5]실험의뢰_장진영!$A:$M,11,0),"")</f>
        <v>0</v>
      </c>
      <c r="R153" s="58">
        <f>IFERROR(VLOOKUP($A153,[5]실험의뢰_장진영!$A:$M,12,0),"")</f>
        <v>0</v>
      </c>
      <c r="S153" s="58">
        <f>IFERROR(VLOOKUP($A153,[5]실험의뢰_장진영!$A:$M,13,0),"")</f>
        <v>0</v>
      </c>
      <c r="T153" s="58"/>
    </row>
    <row r="154" spans="1:20" ht="30" customHeight="1">
      <c r="A154" s="58" t="s">
        <v>420</v>
      </c>
      <c r="B154" s="58" t="str">
        <f>IFERROR(VLOOKUP($A154,[5]실험의뢰_장진영!$A:$M,3,0),"")</f>
        <v>미쟝센 퍼펙트 오일 인퓨전 헤어 마스크150g(25 단캡</v>
      </c>
      <c r="C154" s="58" t="str">
        <f>IFERROR(VLOOKUP($A154,[5]실험의뢰_장진영!$A:$M,9,0),"")</f>
        <v>M251058_01</v>
      </c>
      <c r="D154" s="69" t="str">
        <f>IFERROR(VLOOKUP($A154,[5]실험의뢰_장진영!$A:$M,7,0),"")</f>
        <v>SI1600</v>
      </c>
      <c r="E154" s="1">
        <v>45768</v>
      </c>
      <c r="F154" t="s">
        <v>74</v>
      </c>
      <c r="G154" s="1" t="s">
        <v>341</v>
      </c>
      <c r="H154" t="s">
        <v>423</v>
      </c>
      <c r="I154" s="3">
        <v>4</v>
      </c>
      <c r="J154" s="46">
        <v>12</v>
      </c>
      <c r="L154" s="46" t="str">
        <f>실험지시[[#This Row],[금형코드]]</f>
        <v>M251058_01</v>
      </c>
      <c r="M154" s="60">
        <f>IFERROR(VLOOKUP($A154,[5]실험의뢰_장진영!$A:$M,5,0),"")</f>
        <v>200</v>
      </c>
      <c r="N154" s="58" t="str">
        <f>IFERROR(VLOOKUP($A154,[5]실험의뢰_장진영!$A:$M,4,0),"")</f>
        <v>T2 실험, 수정사항 점검 용 * DW2360도 색상 맞춰서 같이 실험(30ea)</v>
      </c>
      <c r="O154" s="59">
        <f>IFERROR(VLOOKUP($A154,[5]실험의뢰_장진영!$A:$M,6,0),"")</f>
        <v>45768</v>
      </c>
      <c r="P154" s="58" t="str">
        <f>IFERROR(VLOOKUP($A154,[5]실험의뢰_장진영!$A:$M,10,0),"")</f>
        <v>PP (롯데케미칼 J-560S)</v>
      </c>
      <c r="Q154" s="58">
        <f>IFERROR(VLOOKUP($A154,[5]실험의뢰_장진영!$A:$M,11,0),"")</f>
        <v>0</v>
      </c>
      <c r="R154" s="58">
        <f>IFERROR(VLOOKUP($A154,[5]실험의뢰_장진영!$A:$M,12,0),"")</f>
        <v>0</v>
      </c>
      <c r="S154" s="58">
        <f>IFERROR(VLOOKUP($A154,[5]실험의뢰_장진영!$A:$M,13,0),"")</f>
        <v>0</v>
      </c>
      <c r="T154" s="58"/>
    </row>
    <row r="155" spans="1:20" ht="30" customHeight="1">
      <c r="A155" s="58" t="s">
        <v>424</v>
      </c>
      <c r="B155" s="58" t="str">
        <f>IFERROR(VLOOKUP($A155,[5]실험의뢰_장진영!$A:$M,3,0),"")</f>
        <v>라네즈 워터슬리핑마스크 70ML (20AD 단캡</v>
      </c>
      <c r="C155" s="58" t="str">
        <f>IFERROR(VLOOKUP($A155,[5]실험의뢰_장진영!$A:$M,9,0),"")</f>
        <v>M201156_02,M201161_03</v>
      </c>
      <c r="D155" s="69" t="str">
        <f>IFERROR(VLOOKUP($A155,[5]실험의뢰_장진영!$A:$M,7,0),"")</f>
        <v>SI1591</v>
      </c>
      <c r="E155" s="1">
        <v>45783</v>
      </c>
      <c r="G155" s="1" t="s">
        <v>341</v>
      </c>
      <c r="H155" t="s">
        <v>342</v>
      </c>
      <c r="I155" s="3">
        <v>3</v>
      </c>
      <c r="J155" s="46">
        <v>29</v>
      </c>
      <c r="L155" s="46" t="str">
        <f>실험지시[[#This Row],[금형코드]]</f>
        <v>M201156_02,M201161_03</v>
      </c>
      <c r="M155" s="60">
        <f>IFERROR(VLOOKUP($A155,[5]실험의뢰_장진영!$A:$M,5,0),"")</f>
        <v>200</v>
      </c>
      <c r="N155" s="58" t="str">
        <f>IFERROR(VLOOKUP($A155,[5]실험의뢰_장진영!$A:$M,4,0),"")</f>
        <v xml:space="preserve"> - 테스트 불합격으로 다시 제출 예정, 태가 보낼 것 같이하려면 수량 400개로</v>
      </c>
      <c r="O155" s="59">
        <f>IFERROR(VLOOKUP($A155,[5]실험의뢰_장진영!$A:$M,6,0),"")</f>
        <v>45775</v>
      </c>
      <c r="P155" s="58" t="str">
        <f>IFERROR(VLOOKUP($A155,[5]실험의뢰_장진영!$A:$M,10,0),"")</f>
        <v>PP (다원소재 DW-2360)</v>
      </c>
      <c r="Q155" s="58">
        <f>IFERROR(VLOOKUP($A155,[5]실험의뢰_장진영!$A:$M,11,0),"")</f>
        <v>0</v>
      </c>
      <c r="R155" s="58">
        <f>IFERROR(VLOOKUP($A155,[5]실험의뢰_장진영!$A:$M,12,0),"")</f>
        <v>0</v>
      </c>
      <c r="S155" s="58">
        <f>IFERROR(VLOOKUP($A155,[5]실험의뢰_장진영!$A:$M,13,0),"")</f>
        <v>0</v>
      </c>
      <c r="T155" s="58"/>
    </row>
    <row r="156" spans="1:20" ht="30" customHeight="1">
      <c r="A156" s="58" t="s">
        <v>425</v>
      </c>
      <c r="B156" s="58" t="str">
        <f>IFERROR(VLOOKUP($A156,[5]실험의뢰_장진영!$A:$M,3,0),"")</f>
        <v>미쟝센 퍼펙트 오일 인퓨전 헤어 마스크150g(25 단캡</v>
      </c>
      <c r="C156" s="58" t="str">
        <f>IFERROR(VLOOKUP($A156,[5]실험의뢰_장진영!$A:$M,9,0),"")</f>
        <v>M251058_01</v>
      </c>
      <c r="D156" s="69" t="str">
        <f>IFERROR(VLOOKUP($A156,[5]실험의뢰_장진영!$A:$M,7,0),"")</f>
        <v>SI1600</v>
      </c>
      <c r="E156" s="1">
        <v>45785</v>
      </c>
      <c r="F156" t="s">
        <v>74</v>
      </c>
      <c r="G156" s="1" t="s">
        <v>152</v>
      </c>
      <c r="H156" t="s">
        <v>427</v>
      </c>
      <c r="I156" s="3">
        <v>4</v>
      </c>
      <c r="J156" s="46">
        <v>12</v>
      </c>
      <c r="L156" s="46" t="str">
        <f>실험지시[[#This Row],[금형코드]]</f>
        <v>M251058_01</v>
      </c>
      <c r="M156" s="60">
        <f>IFERROR(VLOOKUP($A156,[5]실험의뢰_장진영!$A:$M,5,0),"")</f>
        <v>50</v>
      </c>
      <c r="N156" s="58" t="str">
        <f>IFERROR(VLOOKUP($A156,[5]실험의뢰_장진영!$A:$M,4,0),"")</f>
        <v>펄사출</v>
      </c>
      <c r="O156" s="59">
        <f>IFERROR(VLOOKUP($A156,[5]실험의뢰_장진영!$A:$M,6,0),"")</f>
        <v>45783</v>
      </c>
      <c r="P156" s="58" t="str">
        <f>IFERROR(VLOOKUP($A156,[5]실험의뢰_장진영!$A:$M,10,0),"")</f>
        <v>PP (롯데케미칼 J-560S)</v>
      </c>
      <c r="Q156" s="58">
        <f>IFERROR(VLOOKUP($A156,[5]실험의뢰_장진영!$A:$M,11,0),"")</f>
        <v>0</v>
      </c>
      <c r="R156" s="58">
        <f>IFERROR(VLOOKUP($A156,[5]실험의뢰_장진영!$A:$M,12,0),"")</f>
        <v>0</v>
      </c>
      <c r="S156" s="58">
        <f>IFERROR(VLOOKUP($A156,[5]실험의뢰_장진영!$A:$M,13,0),"")</f>
        <v>0</v>
      </c>
      <c r="T156" s="58"/>
    </row>
    <row r="157" spans="1:20" ht="30" customHeight="1">
      <c r="A157" s="58" t="s">
        <v>426</v>
      </c>
      <c r="B157" s="58" t="str">
        <f>IFERROR(VLOOKUP($A157,[5]실험의뢰_장진영!$A:$M,3,0),"")</f>
        <v>미쟝센 퍼펙트 오일 인퓨전 헤어 마스크150g(25 단용기</v>
      </c>
      <c r="C157" s="58" t="str">
        <f>IFERROR(VLOOKUP($A157,[5]실험의뢰_장진영!$A:$M,9,0),"")</f>
        <v>M251059_01</v>
      </c>
      <c r="D157" s="69" t="str">
        <f>IFERROR(VLOOKUP($A157,[5]실험의뢰_장진영!$A:$M,7,0),"")</f>
        <v>SI1601</v>
      </c>
      <c r="E157" s="1">
        <v>45785</v>
      </c>
      <c r="F157" t="s">
        <v>74</v>
      </c>
      <c r="G157" s="1" t="s">
        <v>157</v>
      </c>
      <c r="H157" t="s">
        <v>427</v>
      </c>
      <c r="I157" s="3">
        <v>4</v>
      </c>
      <c r="J157" s="46">
        <v>12</v>
      </c>
      <c r="L157" s="46" t="str">
        <f>실험지시[[#This Row],[금형코드]]</f>
        <v>M251059_01</v>
      </c>
      <c r="M157" s="60">
        <f>IFERROR(VLOOKUP($A157,[5]실험의뢰_장진영!$A:$M,5,0),"")</f>
        <v>50</v>
      </c>
      <c r="N157" s="58" t="str">
        <f>IFERROR(VLOOKUP($A157,[5]실험의뢰_장진영!$A:$M,4,0),"")</f>
        <v>펄사출</v>
      </c>
      <c r="O157" s="59">
        <f>IFERROR(VLOOKUP($A157,[5]실험의뢰_장진영!$A:$M,6,0),"")</f>
        <v>45783</v>
      </c>
      <c r="P157" s="58" t="str">
        <f>IFERROR(VLOOKUP($A157,[5]실험의뢰_장진영!$A:$M,10,0),"")</f>
        <v>PP (롯데케미칼 J-560S)</v>
      </c>
      <c r="Q157" s="58">
        <f>IFERROR(VLOOKUP($A157,[5]실험의뢰_장진영!$A:$M,11,0),"")</f>
        <v>0</v>
      </c>
      <c r="R157" s="58">
        <f>IFERROR(VLOOKUP($A157,[5]실험의뢰_장진영!$A:$M,12,0),"")</f>
        <v>0</v>
      </c>
      <c r="S157" s="58">
        <f>IFERROR(VLOOKUP($A157,[5]실험의뢰_장진영!$A:$M,13,0),"")</f>
        <v>0</v>
      </c>
      <c r="T157" s="58"/>
    </row>
    <row r="158" spans="1:20" ht="30" customHeight="1">
      <c r="A158" s="58" t="s">
        <v>428</v>
      </c>
      <c r="B158" s="58" t="str">
        <f>IFERROR(VLOOKUP($A158,[5]실험의뢰_장진영!$A:$M,3,0),"")</f>
        <v xml:space="preserve">아모스 60파이 원터치캡 </v>
      </c>
      <c r="C158" s="58" t="str">
        <f>IFERROR(VLOOKUP($A158,[5]실험의뢰_장진영!$A:$M,9,0),"")</f>
        <v>DS22163</v>
      </c>
      <c r="D158" s="69" t="str">
        <f>IFERROR(VLOOKUP($A158,[5]실험의뢰_장진영!$A:$M,7,0),"")</f>
        <v>SI1603</v>
      </c>
      <c r="E158" s="1"/>
      <c r="I158" s="3"/>
      <c r="L158" s="46" t="str">
        <f>실험지시[[#This Row],[금형코드]]</f>
        <v>DS22163</v>
      </c>
      <c r="M158" s="60">
        <f>IFERROR(VLOOKUP($A158,[5]실험의뢰_장진영!$A:$M,5,0),"")</f>
        <v>50</v>
      </c>
      <c r="N158" s="58" t="str">
        <f>IFERROR(VLOOKUP($A158,[5]실험의뢰_장진영!$A:$M,4,0),"")</f>
        <v>색상실험 샘플 - MB 2가지</v>
      </c>
      <c r="O158" s="59">
        <f>IFERROR(VLOOKUP($A158,[5]실험의뢰_장진영!$A:$M,6,0),"")</f>
        <v>45785</v>
      </c>
      <c r="P158" s="58" t="str">
        <f>IFERROR(VLOOKUP($A158,[5]실험의뢰_장진영!$A:$M,10,0),"")</f>
        <v>PP (롯데케미칼 J-560S)</v>
      </c>
      <c r="Q158" s="58">
        <f>IFERROR(VLOOKUP($A158,[5]실험의뢰_장진영!$A:$M,11,0),"")</f>
        <v>0</v>
      </c>
      <c r="R158" s="58">
        <f>IFERROR(VLOOKUP($A158,[5]실험의뢰_장진영!$A:$M,12,0),"")</f>
        <v>0</v>
      </c>
      <c r="S158" s="58">
        <f>IFERROR(VLOOKUP($A158,[5]실험의뢰_장진영!$A:$M,13,0),"")</f>
        <v>0</v>
      </c>
      <c r="T158" s="58"/>
    </row>
    <row r="159" spans="1:20" ht="30" customHeight="1">
      <c r="A159" s="58" t="s">
        <v>429</v>
      </c>
      <c r="B159" s="58" t="str">
        <f>IFERROR(VLOOKUP($A159,[5]실험의뢰_장진영!$A:$M,3,0),"")</f>
        <v>라보에이치 모발강화 트리트먼트 300ml 60파이 원터치캡</v>
      </c>
      <c r="C159" s="58" t="str">
        <f>IFERROR(VLOOKUP($A159,[5]실험의뢰_장진영!$A:$M,9,0),"")</f>
        <v>M241336-01</v>
      </c>
      <c r="D159" s="69" t="str">
        <f>IFERROR(VLOOKUP($A159,[5]실험의뢰_장진영!$A:$M,7,0),"")</f>
        <v>SI1559</v>
      </c>
      <c r="E159" s="1">
        <v>45792</v>
      </c>
      <c r="F159" t="s">
        <v>74</v>
      </c>
      <c r="G159" s="1" t="s">
        <v>157</v>
      </c>
      <c r="H159" t="s">
        <v>307</v>
      </c>
      <c r="I159" s="3"/>
      <c r="L159" s="46" t="str">
        <f>실험지시[[#This Row],[금형코드]]</f>
        <v>M241336-01</v>
      </c>
      <c r="M159" s="60">
        <f>IFERROR(VLOOKUP($A159,[5]실험의뢰_장진영!$A:$M,5,0),"")</f>
        <v>150</v>
      </c>
      <c r="N159" s="58" t="str">
        <f>IFERROR(VLOOKUP($A159,[5]실험의뢰_장진영!$A:$M,4,0),"")</f>
        <v>아이팩 라인테스트 및 후가공테스트 용 필요수량 150개, 표견용도 활용</v>
      </c>
      <c r="O159" s="59">
        <f>IFERROR(VLOOKUP($A159,[5]실험의뢰_장진영!$A:$M,6,0),"")</f>
        <v>45792</v>
      </c>
      <c r="P159" s="58">
        <f>IFERROR(VLOOKUP($A159,[5]실험의뢰_장진영!$A:$M,10,0),"")</f>
        <v>0</v>
      </c>
      <c r="Q159" s="58">
        <f>IFERROR(VLOOKUP($A159,[5]실험의뢰_장진영!$A:$M,11,0),"")</f>
        <v>0</v>
      </c>
      <c r="R159" s="58">
        <f>IFERROR(VLOOKUP($A159,[5]실험의뢰_장진영!$A:$M,12,0),"")</f>
        <v>0</v>
      </c>
      <c r="S159" s="58">
        <f>IFERROR(VLOOKUP($A159,[5]실험의뢰_장진영!$A:$M,13,0),"")</f>
        <v>0</v>
      </c>
      <c r="T159" s="58"/>
    </row>
    <row r="160" spans="1:20" ht="30" customHeight="1">
      <c r="A160" s="58" t="s">
        <v>430</v>
      </c>
      <c r="B160" s="58" t="str">
        <f>IFERROR(VLOOKUP($A160,[5]실험의뢰_장진영!$A:$M,3,0),"")</f>
        <v>라보에이치 모발강화 트리트먼트 300ml 60파이 장식</v>
      </c>
      <c r="C160" s="58" t="str">
        <f>IFERROR(VLOOKUP($A160,[5]실험의뢰_장진영!$A:$M,9,0),"")</f>
        <v>M241335-01</v>
      </c>
      <c r="D160" s="69" t="str">
        <f>IFERROR(VLOOKUP($A160,[5]실험의뢰_장진영!$A:$M,7,0),"")</f>
        <v>SI1560</v>
      </c>
      <c r="E160" s="1"/>
      <c r="G160" s="1" t="s">
        <v>157</v>
      </c>
      <c r="H160" t="s">
        <v>307</v>
      </c>
      <c r="I160" s="3"/>
      <c r="L160" s="46" t="str">
        <f>실험지시[[#This Row],[금형코드]]</f>
        <v>M241335-01</v>
      </c>
      <c r="M160" s="60">
        <f>IFERROR(VLOOKUP($A160,[5]실험의뢰_장진영!$A:$M,5,0),"")</f>
        <v>150</v>
      </c>
      <c r="N160" s="58" t="str">
        <f>IFERROR(VLOOKUP($A160,[5]실험의뢰_장진영!$A:$M,4,0),"")</f>
        <v>아이팩 라인테스트 및 후가공테스트 용 필요수량 150개, 표견용도 활용</v>
      </c>
      <c r="O160" s="59">
        <f>IFERROR(VLOOKUP($A160,[5]실험의뢰_장진영!$A:$M,6,0),"")</f>
        <v>45792</v>
      </c>
      <c r="P160" s="58">
        <f>IFERROR(VLOOKUP($A160,[5]실험의뢰_장진영!$A:$M,10,0),"")</f>
        <v>0</v>
      </c>
      <c r="Q160" s="58">
        <f>IFERROR(VLOOKUP($A160,[5]실험의뢰_장진영!$A:$M,11,0),"")</f>
        <v>0</v>
      </c>
      <c r="R160" s="58">
        <f>IFERROR(VLOOKUP($A160,[5]실험의뢰_장진영!$A:$M,12,0),"")</f>
        <v>0</v>
      </c>
      <c r="S160" s="58">
        <f>IFERROR(VLOOKUP($A160,[5]실험의뢰_장진영!$A:$M,13,0),"")</f>
        <v>0</v>
      </c>
      <c r="T160" s="58"/>
    </row>
    <row r="161" spans="1:20" ht="30" customHeight="1">
      <c r="A161" s="58" t="s">
        <v>431</v>
      </c>
      <c r="B161" s="58" t="str">
        <f>IFERROR(VLOOKUP($A161,[5]실험의뢰_장진영!$A:$M,3,0),"")</f>
        <v>프리메라 오가 리페어씨드 펩타이드 크림50ml(23 캡</v>
      </c>
      <c r="C161" s="58" t="str">
        <f>IFERROR(VLOOKUP($A161,[5]실험의뢰_장진영!$A:$M,9,0),"")</f>
        <v>M221275</v>
      </c>
      <c r="D161" s="69" t="str">
        <f>IFERROR(VLOOKUP($A161,[5]실험의뢰_장진영!$A:$M,7,0),"")</f>
        <v>SI1604</v>
      </c>
      <c r="E161" s="1">
        <v>45792</v>
      </c>
      <c r="F161" t="s">
        <v>74</v>
      </c>
      <c r="G161" s="1" t="s">
        <v>341</v>
      </c>
      <c r="H161" t="s">
        <v>432</v>
      </c>
      <c r="I161" s="3">
        <v>5</v>
      </c>
      <c r="J161" s="46">
        <v>19</v>
      </c>
      <c r="L161" s="46" t="str">
        <f>실험지시[[#This Row],[금형코드]]</f>
        <v>M221275</v>
      </c>
      <c r="M161" s="60">
        <f>IFERROR(VLOOKUP($A161,[5]실험의뢰_장진영!$A:$M,5,0),"")</f>
        <v>0</v>
      </c>
      <c r="N161" s="58">
        <f>IFERROR(VLOOKUP($A161,[5]실험의뢰_장진영!$A:$M,4,0),"")</f>
        <v>0</v>
      </c>
      <c r="O161" s="59">
        <f>IFERROR(VLOOKUP($A161,[5]실험의뢰_장진영!$A:$M,6,0),"")</f>
        <v>45792</v>
      </c>
      <c r="P161" s="58" t="str">
        <f>IFERROR(VLOOKUP($A161,[5]실험의뢰_장진영!$A:$M,10,0),"")</f>
        <v>PP (다원소재 DW-2360)</v>
      </c>
      <c r="Q161" s="58">
        <f>IFERROR(VLOOKUP($A161,[5]실험의뢰_장진영!$A:$M,11,0),"")</f>
        <v>0</v>
      </c>
      <c r="R161" s="58">
        <f>IFERROR(VLOOKUP($A161,[5]실험의뢰_장진영!$A:$M,12,0),"")</f>
        <v>0</v>
      </c>
      <c r="S161" s="58">
        <f>IFERROR(VLOOKUP($A161,[5]실험의뢰_장진영!$A:$M,13,0),"")</f>
        <v>0</v>
      </c>
      <c r="T161" s="58"/>
    </row>
    <row r="162" spans="1:20" ht="30" customHeight="1">
      <c r="A162" s="58" t="s">
        <v>433</v>
      </c>
      <c r="B162" s="58" t="str">
        <f>IFERROR(VLOOKUP($A162,[5]실험의뢰_장진영!$A:$M,3,0),"")</f>
        <v>(EUSA)라네즈 실키앤스무스 토너 150mL (26 외캡</v>
      </c>
      <c r="C162" s="58" t="str">
        <f>IFERROR(VLOOKUP($A162,[5]실험의뢰_장진영!$A:$M,9,0),"")</f>
        <v>M251109_01</v>
      </c>
      <c r="D162" s="69" t="str">
        <f>IFERROR(VLOOKUP($A162,[5]실험의뢰_장진영!$A:$M,7,0),"")</f>
        <v>SI1605</v>
      </c>
      <c r="E162" s="1">
        <v>45796</v>
      </c>
      <c r="F162" t="s">
        <v>161</v>
      </c>
      <c r="G162" s="1" t="s">
        <v>164</v>
      </c>
      <c r="H162" t="s">
        <v>435</v>
      </c>
      <c r="I162" s="3">
        <v>4</v>
      </c>
      <c r="J162" s="46">
        <v>19</v>
      </c>
      <c r="L162" s="46" t="str">
        <f>실험지시[[#This Row],[금형코드]]</f>
        <v>M251109_01</v>
      </c>
      <c r="M162" s="60">
        <f>IFERROR(VLOOKUP($A162,[5]실험의뢰_장진영!$A:$M,5,0),"")</f>
        <v>100</v>
      </c>
      <c r="N162" s="58" t="str">
        <f>IFERROR(VLOOKUP($A162,[5]실험의뢰_장진영!$A:$M,4,0),"")</f>
        <v>T1, 감압누수테스트 예정, 테스트 문제없으면 기능 제출 예정, MB입고 되어 있습니다. ABS</v>
      </c>
      <c r="O162" s="59">
        <f>IFERROR(VLOOKUP($A162,[5]실험의뢰_장진영!$A:$M,6,0),"")</f>
        <v>45797</v>
      </c>
      <c r="P162" s="58" t="str">
        <f>IFERROR(VLOOKUP($A162,[5]실험의뢰_장진영!$A:$M,10,0),"")</f>
        <v>ABS (롯데첨단소재 MP-0670)</v>
      </c>
      <c r="Q162" s="58">
        <f>IFERROR(VLOOKUP($A162,[5]실험의뢰_장진영!$A:$M,11,0),"")</f>
        <v>0</v>
      </c>
      <c r="R162" s="58">
        <f>IFERROR(VLOOKUP($A162,[5]실험의뢰_장진영!$A:$M,12,0),"")</f>
        <v>0</v>
      </c>
      <c r="S162" s="58">
        <f>IFERROR(VLOOKUP($A162,[5]실험의뢰_장진영!$A:$M,13,0),"")</f>
        <v>0</v>
      </c>
      <c r="T162" s="58"/>
    </row>
    <row r="163" spans="1:20" ht="30" customHeight="1">
      <c r="A163" s="58" t="s">
        <v>434</v>
      </c>
      <c r="B163" s="58" t="str">
        <f>IFERROR(VLOOKUP($A163,[5]실험의뢰_장진영!$A:$M,3,0),"")</f>
        <v>(EUSA)라네즈 실키앤스무스 토너 150mL (26 내캡</v>
      </c>
      <c r="C163" s="58" t="str">
        <f>IFERROR(VLOOKUP($A163,[5]실험의뢰_장진영!$A:$M,9,0),"")</f>
        <v>M251108_01</v>
      </c>
      <c r="D163" s="69" t="str">
        <f>IFERROR(VLOOKUP($A163,[5]실험의뢰_장진영!$A:$M,7,0),"")</f>
        <v>SI1606</v>
      </c>
      <c r="E163" s="1">
        <v>45797</v>
      </c>
      <c r="F163" t="s">
        <v>114</v>
      </c>
      <c r="G163" s="1" t="s">
        <v>341</v>
      </c>
      <c r="H163" t="s">
        <v>436</v>
      </c>
      <c r="I163" s="3">
        <v>4</v>
      </c>
      <c r="J163" s="46">
        <v>19</v>
      </c>
      <c r="L163" s="46" t="str">
        <f>실험지시[[#This Row],[금형코드]]</f>
        <v>M251108_01</v>
      </c>
      <c r="M163" s="60">
        <f>IFERROR(VLOOKUP($A163,[5]실험의뢰_장진영!$A:$M,5,0),"")</f>
        <v>100</v>
      </c>
      <c r="N163" s="58" t="str">
        <f>IFERROR(VLOOKUP($A163,[5]실험의뢰_장진영!$A:$M,4,0),"")</f>
        <v>T1, 감압누수테스트 예정, 테스트 문제없으면 기능 제출 예정, MB입고 되어 있습니다. DW</v>
      </c>
      <c r="O163" s="59">
        <f>IFERROR(VLOOKUP($A163,[5]실험의뢰_장진영!$A:$M,6,0),"")</f>
        <v>45797</v>
      </c>
      <c r="P163" s="58" t="str">
        <f>IFERROR(VLOOKUP($A163,[5]실험의뢰_장진영!$A:$M,10,0),"")</f>
        <v>PP (다원소재 DW-2360)</v>
      </c>
      <c r="Q163" s="58">
        <f>IFERROR(VLOOKUP($A163,[5]실험의뢰_장진영!$A:$M,11,0),"")</f>
        <v>0</v>
      </c>
      <c r="R163" s="58">
        <f>IFERROR(VLOOKUP($A163,[5]실험의뢰_장진영!$A:$M,12,0),"")</f>
        <v>0</v>
      </c>
      <c r="S163" s="58">
        <f>IFERROR(VLOOKUP($A163,[5]실험의뢰_장진영!$A:$M,13,0),"")</f>
        <v>0</v>
      </c>
      <c r="T163" s="58"/>
    </row>
    <row r="164" spans="1:20" ht="30" customHeight="1">
      <c r="A164" s="58" t="s">
        <v>437</v>
      </c>
      <c r="B164" s="58" t="str">
        <f>IFERROR(VLOOKUP($A164,[5]실험의뢰_장진영!$A:$M,3,0),"")</f>
        <v>(EUSA)라네즈 실키앤스무스 토너 150mL (26 내캡</v>
      </c>
      <c r="C164" s="58" t="str">
        <f>IFERROR(VLOOKUP($A164,[5]실험의뢰_장진영!$A:$M,9,0),"")</f>
        <v>M251108_01</v>
      </c>
      <c r="D164" s="69" t="str">
        <f>IFERROR(VLOOKUP($A164,[5]실험의뢰_장진영!$A:$M,7,0),"")</f>
        <v>SI1606</v>
      </c>
      <c r="E164" s="1">
        <v>45806</v>
      </c>
      <c r="F164" t="s">
        <v>74</v>
      </c>
      <c r="G164" s="1" t="s">
        <v>341</v>
      </c>
      <c r="H164" t="s">
        <v>436</v>
      </c>
      <c r="I164" s="3">
        <v>4</v>
      </c>
      <c r="J164" s="46">
        <v>19</v>
      </c>
      <c r="L164" s="46" t="str">
        <f>실험지시[[#This Row],[금형코드]]</f>
        <v>M251108_01</v>
      </c>
      <c r="M164" s="60">
        <f>IFERROR(VLOOKUP($A164,[5]실험의뢰_장진영!$A:$M,5,0),"")</f>
        <v>100</v>
      </c>
      <c r="N164" s="58" t="str">
        <f>IFERROR(VLOOKUP($A164,[5]실험의뢰_장진영!$A:$M,4,0),"")</f>
        <v>T2, 금형 수정 후 23일 입고 예정. 24일 사출요청</v>
      </c>
      <c r="O164" s="59">
        <f>IFERROR(VLOOKUP($A164,[5]실험의뢰_장진영!$A:$M,6,0),"")</f>
        <v>45797</v>
      </c>
      <c r="P164" s="58" t="str">
        <f>IFERROR(VLOOKUP($A164,[5]실험의뢰_장진영!$A:$M,10,0),"")</f>
        <v>PP (다원소재 DW-2360)</v>
      </c>
      <c r="Q164" s="58">
        <f>IFERROR(VLOOKUP($A164,[5]실험의뢰_장진영!$A:$M,11,0),"")</f>
        <v>0</v>
      </c>
      <c r="R164" s="58">
        <f>IFERROR(VLOOKUP($A164,[5]실험의뢰_장진영!$A:$M,12,0),"")</f>
        <v>0</v>
      </c>
      <c r="S164" s="58">
        <f>IFERROR(VLOOKUP($A164,[5]실험의뢰_장진영!$A:$M,13,0),"")</f>
        <v>0</v>
      </c>
      <c r="T164" s="58"/>
    </row>
    <row r="165" spans="1:20" ht="30" customHeight="1">
      <c r="A165" s="58" t="s">
        <v>438</v>
      </c>
      <c r="B165" s="58" t="str">
        <f>IFERROR(VLOOKUP($A165,[5]실험의뢰_장진영!$A:$M,3,0),"")</f>
        <v>라네즈 옴므블루에너지스킨토너EX(견50ML(25) 외캡</v>
      </c>
      <c r="C165" s="58" t="str">
        <f>IFERROR(VLOOKUP($A165,[5]실험의뢰_장진영!$A:$M,9,0),"")</f>
        <v>M191515_01,M201251_02,M211125_03</v>
      </c>
      <c r="D165" s="69" t="str">
        <f>IFERROR(VLOOKUP($A165,[5]실험의뢰_장진영!$A:$M,7,0),"")</f>
        <v>SI1607</v>
      </c>
      <c r="E165" s="1">
        <v>45806</v>
      </c>
      <c r="F165" t="s">
        <v>289</v>
      </c>
      <c r="G165" s="1" t="s">
        <v>440</v>
      </c>
      <c r="H165" t="s">
        <v>441</v>
      </c>
      <c r="I165" s="3">
        <v>4</v>
      </c>
      <c r="J165" s="46">
        <v>8</v>
      </c>
      <c r="L165" s="46" t="str">
        <f>실험지시[[#This Row],[금형코드]]</f>
        <v>M191515_01,M201251_02,M211125_03</v>
      </c>
      <c r="M165" s="60">
        <f>IFERROR(VLOOKUP($A165,[5]실험의뢰_장진영!$A:$M,5,0),"")</f>
        <v>100</v>
      </c>
      <c r="N165" s="58" t="str">
        <f>IFERROR(VLOOKUP($A165,[5]실험의뢰_장진영!$A:$M,4,0),"")</f>
        <v>색상실험 - 반드시 색상타겟 보면서 확인 요청(재질 강성함님께 확인하겠음) - 타겟 용기와 같아 보여야 한다고 합니다(불투명)</v>
      </c>
      <c r="O165" s="59">
        <f>IFERROR(VLOOKUP($A165,[5]실험의뢰_장진영!$A:$M,6,0),"")</f>
        <v>45803</v>
      </c>
      <c r="P165" s="58" t="str">
        <f>IFERROR(VLOOKUP($A165,[5]실험의뢰_장진영!$A:$M,10,0),"")</f>
        <v>PETG (SK케미칼 PN200)</v>
      </c>
      <c r="Q165" s="58">
        <f>IFERROR(VLOOKUP($A165,[5]실험의뢰_장진영!$A:$M,11,0),"")</f>
        <v>0</v>
      </c>
      <c r="R165" s="58">
        <f>IFERROR(VLOOKUP($A165,[5]실험의뢰_장진영!$A:$M,12,0),"")</f>
        <v>0</v>
      </c>
      <c r="S165" s="58" t="str">
        <f>IFERROR(VLOOKUP($A165,[5]실험의뢰_장진영!$A:$M,13,0),"")</f>
        <v>7462989 라네즈 옴므불루에너지스킨토너 EX(견50ml 외캡</v>
      </c>
      <c r="T165" s="58"/>
    </row>
    <row r="166" spans="1:20" ht="30" customHeight="1">
      <c r="A166" s="58" t="s">
        <v>439</v>
      </c>
      <c r="B166" s="58" t="str">
        <f>IFERROR(VLOOKUP($A166,[5]실험의뢰_장진영!$A:$M,3,0),"")</f>
        <v>라네즈 옴므블루에너지스킨토너EX(견50ML(25) 내캡</v>
      </c>
      <c r="C166" s="58" t="str">
        <f>IFERROR(VLOOKUP($A166,[5]실험의뢰_장진영!$A:$M,9,0),"")</f>
        <v>M191514_01,M201250_02,M211124_03</v>
      </c>
      <c r="D166" s="69" t="str">
        <f>IFERROR(VLOOKUP($A166,[5]실험의뢰_장진영!$A:$M,7,0),"")</f>
        <v>SI1608</v>
      </c>
      <c r="E166" s="1">
        <v>45806</v>
      </c>
      <c r="F166" t="s">
        <v>74</v>
      </c>
      <c r="G166" s="1" t="s">
        <v>341</v>
      </c>
      <c r="H166" t="s">
        <v>442</v>
      </c>
      <c r="I166" s="3">
        <v>4</v>
      </c>
      <c r="J166" s="46">
        <v>19</v>
      </c>
      <c r="L166" s="46" t="str">
        <f>실험지시[[#This Row],[금형코드]]</f>
        <v>M191514_01,M201250_02,M211124_03</v>
      </c>
      <c r="M166" s="60">
        <f>IFERROR(VLOOKUP($A166,[5]실험의뢰_장진영!$A:$M,5,0),"")</f>
        <v>100</v>
      </c>
      <c r="N166" s="58" t="str">
        <f>IFERROR(VLOOKUP($A166,[5]실험의뢰_장진영!$A:$M,4,0),"")</f>
        <v>색상실험 - 반드시 색상타겟 보면서 확인 요청 - 짙은 남색이라고 합니다. MB다시 맞추라고 했습니다</v>
      </c>
      <c r="O166" s="59">
        <f>IFERROR(VLOOKUP($A166,[5]실험의뢰_장진영!$A:$M,6,0),"")</f>
        <v>45803</v>
      </c>
      <c r="P166" s="58" t="str">
        <f>IFERROR(VLOOKUP($A166,[5]실험의뢰_장진영!$A:$M,10,0),"")</f>
        <v>PP (다원소재 DW-2360)</v>
      </c>
      <c r="Q166" s="58">
        <f>IFERROR(VLOOKUP($A166,[5]실험의뢰_장진영!$A:$M,11,0),"")</f>
        <v>0</v>
      </c>
      <c r="R166" s="58">
        <f>IFERROR(VLOOKUP($A166,[5]실험의뢰_장진영!$A:$M,12,0),"")</f>
        <v>0</v>
      </c>
      <c r="S166" s="58" t="str">
        <f>IFERROR(VLOOKUP($A166,[5]실험의뢰_장진영!$A:$M,13,0),"")</f>
        <v>7462989 라네즈 옴므불루에너지스킨토너 EX(견50ml 내캡</v>
      </c>
      <c r="T166" s="58"/>
    </row>
    <row r="167" spans="1:20" ht="30" customHeight="1">
      <c r="A167" s="58" t="s">
        <v>443</v>
      </c>
      <c r="B167" s="58" t="str">
        <f>IFERROR(VLOOKUP($A167,[5]실험의뢰_장진영!$A:$M,3,0),"")</f>
        <v>(EUSA)라네즈 실키앤스무스 토너 150mL (26 외캡</v>
      </c>
      <c r="C167" s="58" t="str">
        <f>IFERROR(VLOOKUP($A167,[5]실험의뢰_장진영!$A:$M,9,0),"")</f>
        <v>M251109_01</v>
      </c>
      <c r="D167" s="69" t="str">
        <f>IFERROR(VLOOKUP($A167,[5]실험의뢰_장진영!$A:$M,7,0),"")</f>
        <v>SI1605</v>
      </c>
      <c r="E167" s="1">
        <v>45812</v>
      </c>
      <c r="F167" t="s">
        <v>74</v>
      </c>
      <c r="G167" s="1" t="s">
        <v>164</v>
      </c>
      <c r="H167" t="s">
        <v>435</v>
      </c>
      <c r="I167" s="3">
        <v>4</v>
      </c>
      <c r="J167" s="46">
        <v>19</v>
      </c>
      <c r="L167" s="46" t="str">
        <f>실험지시[[#This Row],[금형코드]]</f>
        <v>M251109_01</v>
      </c>
      <c r="M167" s="60">
        <f>IFERROR(VLOOKUP($A167,[5]실험의뢰_장진영!$A:$M,5,0),"")</f>
        <v>100</v>
      </c>
      <c r="N167" s="58" t="str">
        <f>IFERROR(VLOOKUP($A167,[5]실험의뢰_장진영!$A:$M,4,0),"")</f>
        <v>T2, 금형 수정 후 23일 입고 예정. 24일 사출요청</v>
      </c>
      <c r="O167" s="59">
        <f>IFERROR(VLOOKUP($A167,[5]실험의뢰_장진영!$A:$M,6,0),"")</f>
        <v>45797</v>
      </c>
      <c r="P167" s="58" t="str">
        <f>IFERROR(VLOOKUP($A167,[5]실험의뢰_장진영!$A:$M,10,0),"")</f>
        <v>ABS (롯데첨단소재 MP-0670)</v>
      </c>
      <c r="Q167" s="58">
        <f>IFERROR(VLOOKUP($A167,[5]실험의뢰_장진영!$A:$M,11,0),"")</f>
        <v>0</v>
      </c>
      <c r="R167" s="58">
        <f>IFERROR(VLOOKUP($A167,[5]실험의뢰_장진영!$A:$M,12,0),"")</f>
        <v>0</v>
      </c>
      <c r="S167" s="58">
        <f>IFERROR(VLOOKUP($A167,[5]실험의뢰_장진영!$A:$M,13,0),"")</f>
        <v>0</v>
      </c>
      <c r="T167" s="58"/>
    </row>
    <row r="168" spans="1:20" ht="30" customHeight="1">
      <c r="A168" s="58" t="s">
        <v>444</v>
      </c>
      <c r="B168" s="58" t="str">
        <f>IFERROR(VLOOKUP($A168,[5]실험의뢰_장진영!$A:$M,3,0),"")</f>
        <v>라네즈 워터슬리핑마스크 70ML (20AD 단캡</v>
      </c>
      <c r="C168" s="58" t="str">
        <f>IFERROR(VLOOKUP($A168,[5]실험의뢰_장진영!$A:$M,9,0),"")</f>
        <v>M201156_02,M201161_03</v>
      </c>
      <c r="D168" s="69" t="str">
        <f>IFERROR(VLOOKUP($A168,[5]실험의뢰_장진영!$A:$M,7,0),"")</f>
        <v>SI1591</v>
      </c>
      <c r="E168" s="1">
        <v>45812</v>
      </c>
      <c r="F168" t="s">
        <v>114</v>
      </c>
      <c r="G168" s="1" t="s">
        <v>341</v>
      </c>
      <c r="H168" t="s">
        <v>342</v>
      </c>
      <c r="I168" s="3">
        <v>3</v>
      </c>
      <c r="J168" s="46">
        <v>26</v>
      </c>
      <c r="L168" s="46" t="str">
        <f>실험지시[[#This Row],[금형코드]]</f>
        <v>M201156_02,M201161_03</v>
      </c>
      <c r="M168" s="60">
        <f>IFERROR(VLOOKUP($A168,[5]실험의뢰_장진영!$A:$M,5,0),"")</f>
        <v>0</v>
      </c>
      <c r="N168" s="58" t="str">
        <f>IFERROR(VLOOKUP($A168,[5]실험의뢰_장진영!$A:$M,4,0),"")</f>
        <v>나라,태가 코팅 불합격 테스트 진행</v>
      </c>
      <c r="O168" s="59">
        <f>IFERROR(VLOOKUP($A168,[5]실험의뢰_장진영!$A:$M,6,0),"")</f>
        <v>0</v>
      </c>
      <c r="P168" s="58" t="str">
        <f>IFERROR(VLOOKUP($A168,[5]실험의뢰_장진영!$A:$M,10,0),"")</f>
        <v>PP (다원소재 DW-2360)</v>
      </c>
      <c r="Q168" s="58">
        <f>IFERROR(VLOOKUP($A168,[5]실험의뢰_장진영!$A:$M,11,0),"")</f>
        <v>0</v>
      </c>
      <c r="R168" s="58">
        <f>IFERROR(VLOOKUP($A168,[5]실험의뢰_장진영!$A:$M,12,0),"")</f>
        <v>0</v>
      </c>
      <c r="S168" s="58">
        <f>IFERROR(VLOOKUP($A168,[5]실험의뢰_장진영!$A:$M,13,0),"")</f>
        <v>0</v>
      </c>
      <c r="T168" s="58"/>
    </row>
    <row r="169" spans="1:20" ht="30" customHeight="1">
      <c r="A169" s="58" t="s">
        <v>445</v>
      </c>
      <c r="B169" s="58" t="str">
        <f>IFERROR(VLOOKUP($A169,[5]실험의뢰_장진영!$A:$M,3,0),"")</f>
        <v>미쟝센 퍼펙트 오일 인퓨전 헤어 마스크150g(25 단캡</v>
      </c>
      <c r="C169" s="58" t="str">
        <f>IFERROR(VLOOKUP($A169,[5]실험의뢰_장진영!$A:$M,9,0),"")</f>
        <v>M251058_01</v>
      </c>
      <c r="D169" s="69" t="str">
        <f>IFERROR(VLOOKUP($A169,[5]실험의뢰_장진영!$A:$M,7,0),"")</f>
        <v>SI1600</v>
      </c>
      <c r="E169" s="1">
        <v>45814</v>
      </c>
      <c r="F169" t="s">
        <v>74</v>
      </c>
      <c r="G169" s="1" t="s">
        <v>157</v>
      </c>
      <c r="I169" s="3"/>
      <c r="J169" s="46">
        <v>19</v>
      </c>
      <c r="K169" s="74">
        <v>250304</v>
      </c>
      <c r="L169" s="46" t="str">
        <f>실험지시[[#This Row],[금형코드]]</f>
        <v>M251058_01</v>
      </c>
      <c r="M169" s="60">
        <f>IFERROR(VLOOKUP($A169,[5]실험의뢰_장진영!$A:$M,5,0),"")</f>
        <v>0</v>
      </c>
      <c r="N169" s="58" t="str">
        <f>IFERROR(VLOOKUP($A169,[5]실험의뢰_장진영!$A:$M,4,0),"")</f>
        <v>수정 확인, MB들어오면 한번 더 진행 예정</v>
      </c>
      <c r="O169" s="59">
        <f>IFERROR(VLOOKUP($A169,[5]실험의뢰_장진영!$A:$M,6,0),"")</f>
        <v>0</v>
      </c>
      <c r="P169" s="58" t="str">
        <f>IFERROR(VLOOKUP($A169,[5]실험의뢰_장진영!$A:$M,10,0),"")</f>
        <v>PP (롯데케미칼 J-560S)</v>
      </c>
      <c r="Q169" s="58">
        <f>IFERROR(VLOOKUP($A169,[5]실험의뢰_장진영!$A:$M,11,0),"")</f>
        <v>0</v>
      </c>
      <c r="R169" s="58">
        <f>IFERROR(VLOOKUP($A169,[5]실험의뢰_장진영!$A:$M,12,0),"")</f>
        <v>0</v>
      </c>
      <c r="S169" s="58">
        <f>IFERROR(VLOOKUP($A169,[5]실험의뢰_장진영!$A:$M,13,0),"")</f>
        <v>0</v>
      </c>
      <c r="T169" s="58"/>
    </row>
    <row r="170" spans="1:20" ht="30" customHeight="1">
      <c r="A170" s="58" t="s">
        <v>446</v>
      </c>
      <c r="B170" s="58" t="str">
        <f>IFERROR(VLOOKUP($A170,[5]실험의뢰_장진영!$A:$M,3,0),"")</f>
        <v>미쟝센 퍼펙트 오일 인퓨전 헤어 마스크150g(25 단용기</v>
      </c>
      <c r="C170" s="58" t="str">
        <f>IFERROR(VLOOKUP($A170,[5]실험의뢰_장진영!$A:$M,9,0),"")</f>
        <v>M251059_01</v>
      </c>
      <c r="D170" s="69" t="str">
        <f>IFERROR(VLOOKUP($A170,[5]실험의뢰_장진영!$A:$M,7,0),"")</f>
        <v>SI1601</v>
      </c>
      <c r="E170" s="1">
        <v>45814</v>
      </c>
      <c r="F170" t="s">
        <v>74</v>
      </c>
      <c r="G170" s="1" t="s">
        <v>157</v>
      </c>
      <c r="I170" s="3"/>
      <c r="J170" s="46">
        <v>19</v>
      </c>
      <c r="K170" s="74">
        <v>250304</v>
      </c>
      <c r="L170" s="46" t="str">
        <f>실험지시[[#This Row],[금형코드]]</f>
        <v>M251059_01</v>
      </c>
      <c r="M170" s="60">
        <f>IFERROR(VLOOKUP($A170,[5]실험의뢰_장진영!$A:$M,5,0),"")</f>
        <v>0</v>
      </c>
      <c r="N170" s="58" t="str">
        <f>IFERROR(VLOOKUP($A170,[5]실험의뢰_장진영!$A:$M,4,0),"")</f>
        <v>수정 확인, MB들어오면 한번 더 진행 예정</v>
      </c>
      <c r="O170" s="59">
        <f>IFERROR(VLOOKUP($A170,[5]실험의뢰_장진영!$A:$M,6,0),"")</f>
        <v>0</v>
      </c>
      <c r="P170" s="58" t="str">
        <f>IFERROR(VLOOKUP($A170,[5]실험의뢰_장진영!$A:$M,10,0),"")</f>
        <v>PP (롯데케미칼 J-560S)</v>
      </c>
      <c r="Q170" s="58">
        <f>IFERROR(VLOOKUP($A170,[5]실험의뢰_장진영!$A:$M,11,0),"")</f>
        <v>0</v>
      </c>
      <c r="R170" s="58">
        <f>IFERROR(VLOOKUP($A170,[5]실험의뢰_장진영!$A:$M,12,0),"")</f>
        <v>0</v>
      </c>
      <c r="S170" s="58">
        <f>IFERROR(VLOOKUP($A170,[5]실험의뢰_장진영!$A:$M,13,0),"")</f>
        <v>0</v>
      </c>
      <c r="T170" s="58"/>
    </row>
    <row r="171" spans="1:20" ht="30" customHeight="1">
      <c r="A171" s="58" t="s">
        <v>447</v>
      </c>
      <c r="B171" s="58" t="str">
        <f>IFERROR(VLOOKUP($A171,[5]실험의뢰_장진영!$A:$M,3,0),"")</f>
        <v>미쟝센 퍼펙트 오일 인퓨전 헤어 마스크150g(25 단캡</v>
      </c>
      <c r="C171" s="58" t="str">
        <f>IFERROR(VLOOKUP($A171,[5]실험의뢰_장진영!$A:$M,9,0),"")</f>
        <v>M251058_01</v>
      </c>
      <c r="D171" s="69" t="str">
        <f>IFERROR(VLOOKUP($A171,[5]실험의뢰_장진영!$A:$M,7,0),"")</f>
        <v>SI1600</v>
      </c>
      <c r="E171" s="1">
        <v>45821</v>
      </c>
      <c r="F171" t="s">
        <v>114</v>
      </c>
      <c r="G171" s="1" t="s">
        <v>157</v>
      </c>
      <c r="H171" t="s">
        <v>450</v>
      </c>
      <c r="I171" s="3">
        <v>4</v>
      </c>
      <c r="J171" s="46">
        <v>19</v>
      </c>
      <c r="K171" s="74">
        <v>250304</v>
      </c>
      <c r="L171" s="46" t="str">
        <f>실험지시[[#This Row],[금형코드]]</f>
        <v>M251058_01</v>
      </c>
      <c r="M171" s="60">
        <f>IFERROR(VLOOKUP($A171,[5]실험의뢰_장진영!$A:$M,5,0),"")</f>
        <v>0</v>
      </c>
      <c r="N171" s="58" t="str">
        <f>IFERROR(VLOOKUP($A171,[5]실험의뢰_장진영!$A:$M,4,0),"")</f>
        <v>신원 MB실험</v>
      </c>
      <c r="O171" s="59">
        <f>IFERROR(VLOOKUP($A171,[5]실험의뢰_장진영!$A:$M,6,0),"")</f>
        <v>0</v>
      </c>
      <c r="P171" s="58" t="str">
        <f>IFERROR(VLOOKUP($A171,[5]실험의뢰_장진영!$A:$M,10,0),"")</f>
        <v>PP (롯데케미칼 J-560S)</v>
      </c>
      <c r="Q171" s="58">
        <f>IFERROR(VLOOKUP($A171,[5]실험의뢰_장진영!$A:$M,11,0),"")</f>
        <v>0</v>
      </c>
      <c r="R171" s="58">
        <f>IFERROR(VLOOKUP($A171,[5]실험의뢰_장진영!$A:$M,12,0),"")</f>
        <v>0</v>
      </c>
      <c r="S171" s="58">
        <f>IFERROR(VLOOKUP($A171,[5]실험의뢰_장진영!$A:$M,13,0),"")</f>
        <v>0</v>
      </c>
      <c r="T171" s="58"/>
    </row>
    <row r="172" spans="1:20" ht="30" customHeight="1">
      <c r="A172" s="58" t="s">
        <v>448</v>
      </c>
      <c r="B172" s="58" t="str">
        <f>IFERROR(VLOOKUP($A172,[5]실험의뢰_장진영!$A:$M,3,0),"")</f>
        <v>미쟝센 퍼펙트 오일 인퓨전 헤어 마스크150g(25 단용기</v>
      </c>
      <c r="C172" s="58" t="str">
        <f>IFERROR(VLOOKUP($A172,[5]실험의뢰_장진영!$A:$M,9,0),"")</f>
        <v>M251059_01</v>
      </c>
      <c r="D172" s="69" t="str">
        <f>IFERROR(VLOOKUP($A172,[5]실험의뢰_장진영!$A:$M,7,0),"")</f>
        <v>SI1601</v>
      </c>
      <c r="E172" s="1">
        <v>45821</v>
      </c>
      <c r="G172" s="1" t="s">
        <v>157</v>
      </c>
      <c r="H172" t="s">
        <v>450</v>
      </c>
      <c r="I172" s="3">
        <v>4</v>
      </c>
      <c r="J172" s="46">
        <v>19</v>
      </c>
      <c r="K172" s="74">
        <v>250304</v>
      </c>
      <c r="L172" s="46" t="str">
        <f>실험지시[[#This Row],[금형코드]]</f>
        <v>M251059_01</v>
      </c>
      <c r="M172" s="60">
        <f>IFERROR(VLOOKUP($A172,[5]실험의뢰_장진영!$A:$M,5,0),"")</f>
        <v>0</v>
      </c>
      <c r="N172" s="58" t="str">
        <f>IFERROR(VLOOKUP($A172,[5]실험의뢰_장진영!$A:$M,4,0),"")</f>
        <v>신원 MB실험(금형 동작 확인)</v>
      </c>
      <c r="O172" s="59">
        <f>IFERROR(VLOOKUP($A172,[5]실험의뢰_장진영!$A:$M,6,0),"")</f>
        <v>0</v>
      </c>
      <c r="P172" s="58" t="str">
        <f>IFERROR(VLOOKUP($A172,[5]실험의뢰_장진영!$A:$M,10,0),"")</f>
        <v>PP (롯데케미칼 J-560S)</v>
      </c>
      <c r="Q172" s="58">
        <f>IFERROR(VLOOKUP($A172,[5]실험의뢰_장진영!$A:$M,11,0),"")</f>
        <v>0</v>
      </c>
      <c r="R172" s="58">
        <f>IFERROR(VLOOKUP($A172,[5]실험의뢰_장진영!$A:$M,12,0),"")</f>
        <v>0</v>
      </c>
      <c r="S172" s="58">
        <f>IFERROR(VLOOKUP($A172,[5]실험의뢰_장진영!$A:$M,13,0),"")</f>
        <v>0</v>
      </c>
      <c r="T172" s="58"/>
    </row>
    <row r="173" spans="1:20" ht="30" customHeight="1">
      <c r="A173" s="58" t="s">
        <v>449</v>
      </c>
      <c r="B173" s="58" t="str">
        <f>IFERROR(VLOOKUP($A173,[5]실험의뢰_장진영!$A:$M,3,0),"")</f>
        <v>(EUSA)라네즈 실키앤스무스 토너 150mL (26 내캡</v>
      </c>
      <c r="C173" s="58" t="str">
        <f>IFERROR(VLOOKUP($A173,[5]실험의뢰_장진영!$A:$M,9,0),"")</f>
        <v>M251108_01</v>
      </c>
      <c r="D173" s="69" t="str">
        <f>IFERROR(VLOOKUP($A173,[5]실험의뢰_장진영!$A:$M,7,0),"")</f>
        <v>SI1606</v>
      </c>
      <c r="E173" s="1">
        <v>45821</v>
      </c>
      <c r="F173" t="s">
        <v>74</v>
      </c>
      <c r="G173" s="1" t="s">
        <v>341</v>
      </c>
      <c r="H173" t="s">
        <v>436</v>
      </c>
      <c r="I173" s="3">
        <v>4</v>
      </c>
      <c r="J173" s="46">
        <v>26</v>
      </c>
      <c r="L173" s="46" t="str">
        <f>실험지시[[#This Row],[금형코드]]</f>
        <v>M251108_01</v>
      </c>
      <c r="M173" s="60">
        <f>IFERROR(VLOOKUP($A173,[5]실험의뢰_장진영!$A:$M,5,0),"")</f>
        <v>100</v>
      </c>
      <c r="N173" s="58" t="str">
        <f>IFERROR(VLOOKUP($A173,[5]실험의뢰_장진영!$A:$M,4,0),"")</f>
        <v>수정 확인 후 문제없으면 기능테스트 제출 예정, 금형 입고시 바로 진행 요청</v>
      </c>
      <c r="O173" s="59">
        <f>IFERROR(VLOOKUP($A173,[5]실험의뢰_장진영!$A:$M,6,0),"")</f>
        <v>0</v>
      </c>
      <c r="P173" s="58" t="str">
        <f>IFERROR(VLOOKUP($A173,[5]실험의뢰_장진영!$A:$M,10,0),"")</f>
        <v>PP (다원소재 DW-2360)</v>
      </c>
      <c r="Q173" s="58">
        <f>IFERROR(VLOOKUP($A173,[5]실험의뢰_장진영!$A:$M,11,0),"")</f>
        <v>0</v>
      </c>
      <c r="R173" s="58">
        <f>IFERROR(VLOOKUP($A173,[5]실험의뢰_장진영!$A:$M,12,0),"")</f>
        <v>0</v>
      </c>
      <c r="S173" s="58">
        <f>IFERROR(VLOOKUP($A173,[5]실험의뢰_장진영!$A:$M,13,0),"")</f>
        <v>0</v>
      </c>
      <c r="T173" s="58"/>
    </row>
    <row r="174" spans="1:20" ht="30" customHeight="1">
      <c r="A174" s="58" t="s">
        <v>451</v>
      </c>
      <c r="B174" s="58" t="str">
        <f>IFERROR(VLOOKUP($A174,[5]실험의뢰_장진영!$A:$M,3,0),"")</f>
        <v>프리메라 더 핸드크림 미스트 20ml  케이스</v>
      </c>
      <c r="C174" s="58" t="str">
        <f>IFERROR(VLOOKUP($A174,[5]실험의뢰_장진영!$A:$M,9,0),"")</f>
        <v>M231269</v>
      </c>
      <c r="D174" s="69" t="str">
        <f>IFERROR(VLOOKUP($A174,[5]실험의뢰_장진영!$A:$M,7,0),"")</f>
        <v>SI1595</v>
      </c>
      <c r="E174" s="1">
        <v>45825</v>
      </c>
      <c r="F174" t="s">
        <v>161</v>
      </c>
      <c r="G174" s="1" t="s">
        <v>311</v>
      </c>
      <c r="H174" t="s">
        <v>417</v>
      </c>
      <c r="I174" s="3">
        <v>3</v>
      </c>
      <c r="J174" s="46">
        <v>13</v>
      </c>
      <c r="L174" s="46" t="str">
        <f>실험지시[[#This Row],[금형코드]]</f>
        <v>M231269</v>
      </c>
      <c r="M174" s="60">
        <f>IFERROR(VLOOKUP($A174,[5]실험의뢰_장진영!$A:$M,5,0),"")</f>
        <v>100</v>
      </c>
      <c r="N174" s="58" t="str">
        <f>IFERROR(VLOOKUP($A174,[5]실험의뢰_장진영!$A:$M,4,0),"")</f>
        <v>차주 수요일까지 라인테스트 100개 제출해야함. 화요일까지 사출요망!</v>
      </c>
      <c r="O174" s="59">
        <f>IFERROR(VLOOKUP($A174,[5]실험의뢰_장진영!$A:$M,6,0),"")</f>
        <v>0</v>
      </c>
      <c r="P174" s="58" t="str">
        <f>IFERROR(VLOOKUP($A174,[5]실험의뢰_장진영!$A:$M,10,0),"")</f>
        <v>HDPE (롯데케미칼 2200J)</v>
      </c>
      <c r="Q174" s="58">
        <f>IFERROR(VLOOKUP($A174,[5]실험의뢰_장진영!$A:$M,11,0),"")</f>
        <v>0</v>
      </c>
      <c r="R174" s="58">
        <f>IFERROR(VLOOKUP($A174,[5]실험의뢰_장진영!$A:$M,12,0),"")</f>
        <v>0</v>
      </c>
      <c r="S174" s="58">
        <f>IFERROR(VLOOKUP($A174,[5]실험의뢰_장진영!$A:$M,13,0),"")</f>
        <v>0</v>
      </c>
      <c r="T174" s="58"/>
    </row>
    <row r="175" spans="1:20" ht="30" customHeight="1">
      <c r="A175" s="58" t="s">
        <v>452</v>
      </c>
      <c r="B175" s="58" t="str">
        <f>IFERROR(VLOOKUP($A175,[5]실험의뢰_장진영!$A:$M,3,0),"")</f>
        <v>홀리추얼 울트라 너리싱 어드밴스드 토너 150ML 외캡 사출</v>
      </c>
      <c r="C175" s="58" t="str">
        <f>IFERROR(VLOOKUP($A175,[5]실험의뢰_장진영!$A:$M,9,0),"")</f>
        <v>M251165_01</v>
      </c>
      <c r="D175" s="69" t="str">
        <f>IFERROR(VLOOKUP($A175,[5]실험의뢰_장진영!$A:$M,7,0),"")</f>
        <v>SI1609</v>
      </c>
      <c r="E175" s="1">
        <v>45832</v>
      </c>
      <c r="F175" t="s">
        <v>74</v>
      </c>
      <c r="G175" s="1" t="s">
        <v>164</v>
      </c>
      <c r="H175" t="s">
        <v>455</v>
      </c>
      <c r="I175" s="3">
        <v>4</v>
      </c>
      <c r="J175" s="46">
        <v>22</v>
      </c>
      <c r="L175" s="46" t="str">
        <f>실험지시[[#This Row],[금형코드]]</f>
        <v>M251165_01</v>
      </c>
      <c r="M175" s="60">
        <f>IFERROR(VLOOKUP($A175,[5]실험의뢰_장진영!$A:$M,5,0),"")</f>
        <v>50</v>
      </c>
      <c r="N175" s="58" t="str">
        <f>IFERROR(VLOOKUP($A175,[5]실험의뢰_장진영!$A:$M,4,0),"")</f>
        <v>T1(MB 색상 맞춰서 사출 요망)</v>
      </c>
      <c r="O175" s="59">
        <f>IFERROR(VLOOKUP($A175,[5]실험의뢰_장진영!$A:$M,6,0),"")</f>
        <v>0</v>
      </c>
      <c r="P175" s="58" t="str">
        <f>IFERROR(VLOOKUP($A175,[5]실험의뢰_장진영!$A:$M,10,0),"")</f>
        <v>ABS (롯데첨단소재 MP-0670)</v>
      </c>
      <c r="Q175" s="58">
        <f>IFERROR(VLOOKUP($A175,[5]실험의뢰_장진영!$A:$M,11,0),"")</f>
        <v>0</v>
      </c>
      <c r="R175" s="58">
        <f>IFERROR(VLOOKUP($A175,[5]실험의뢰_장진영!$A:$M,12,0),"")</f>
        <v>0</v>
      </c>
      <c r="S175" s="58">
        <f>IFERROR(VLOOKUP($A175,[5]실험의뢰_장진영!$A:$M,13,0),"")</f>
        <v>0</v>
      </c>
      <c r="T175" s="58"/>
    </row>
    <row r="176" spans="1:20" ht="30" customHeight="1">
      <c r="A176" s="58" t="s">
        <v>453</v>
      </c>
      <c r="B176" s="58" t="str">
        <f>IFERROR(VLOOKUP($A176,[5]실험의뢰_장진영!$A:$M,3,0),"")</f>
        <v>홀리추얼 울트라 너리싱 어드밴스드 토너 150ML 캡장식 사출</v>
      </c>
      <c r="C176" s="58" t="str">
        <f>IFERROR(VLOOKUP($A176,[5]실험의뢰_장진영!$A:$M,9,0),"")</f>
        <v>M251167_01</v>
      </c>
      <c r="D176" s="69" t="str">
        <f>IFERROR(VLOOKUP($A176,[5]실험의뢰_장진영!$A:$M,7,0),"")</f>
        <v>SI1610</v>
      </c>
      <c r="E176" s="1">
        <v>45832</v>
      </c>
      <c r="F176" t="s">
        <v>74</v>
      </c>
      <c r="G176" s="1" t="s">
        <v>164</v>
      </c>
      <c r="I176" s="3"/>
      <c r="J176" s="46">
        <v>22</v>
      </c>
      <c r="L176" s="46" t="str">
        <f>실험지시[[#This Row],[금형코드]]</f>
        <v>M251167_01</v>
      </c>
      <c r="M176" s="60">
        <f>IFERROR(VLOOKUP($A176,[5]실험의뢰_장진영!$A:$M,5,0),"")</f>
        <v>50</v>
      </c>
      <c r="N176" s="58" t="str">
        <f>IFERROR(VLOOKUP($A176,[5]실험의뢰_장진영!$A:$M,4,0),"")</f>
        <v>T1(MB 색상 맞춰서 사출 요망)</v>
      </c>
      <c r="O176" s="59">
        <f>IFERROR(VLOOKUP($A176,[5]실험의뢰_장진영!$A:$M,6,0),"")</f>
        <v>0</v>
      </c>
      <c r="P176" s="58" t="str">
        <f>IFERROR(VLOOKUP($A176,[5]실험의뢰_장진영!$A:$M,10,0),"")</f>
        <v>ABS (롯데첨단소재 MP-0670)</v>
      </c>
      <c r="Q176" s="58">
        <f>IFERROR(VLOOKUP($A176,[5]실험의뢰_장진영!$A:$M,11,0),"")</f>
        <v>0</v>
      </c>
      <c r="R176" s="58">
        <f>IFERROR(VLOOKUP($A176,[5]실험의뢰_장진영!$A:$M,12,0),"")</f>
        <v>0</v>
      </c>
      <c r="S176" s="58">
        <f>IFERROR(VLOOKUP($A176,[5]실험의뢰_장진영!$A:$M,13,0),"")</f>
        <v>0</v>
      </c>
      <c r="T176" s="58"/>
    </row>
    <row r="177" spans="1:20" ht="30" customHeight="1">
      <c r="A177" s="58" t="s">
        <v>454</v>
      </c>
      <c r="B177" s="58" t="str">
        <f>IFERROR(VLOOKUP($A177,[5]실험의뢰_장진영!$A:$M,3,0),"")</f>
        <v>홀리추얼 울트라 너리싱 어드밴스드 토너 150ML 내캡</v>
      </c>
      <c r="C177" s="58" t="str">
        <f>IFERROR(VLOOKUP($A177,[5]실험의뢰_장진영!$A:$M,9,0),"")</f>
        <v>M251166_01</v>
      </c>
      <c r="D177" s="69" t="str">
        <f>IFERROR(VLOOKUP($A177,[5]실험의뢰_장진영!$A:$M,7,0),"")</f>
        <v>SI1611</v>
      </c>
      <c r="E177" s="1">
        <v>45833</v>
      </c>
      <c r="F177" t="s">
        <v>74</v>
      </c>
      <c r="G177" s="1" t="s">
        <v>457</v>
      </c>
      <c r="H177" t="s">
        <v>458</v>
      </c>
      <c r="I177" s="3">
        <v>6</v>
      </c>
      <c r="J177" s="46">
        <v>22</v>
      </c>
      <c r="L177" s="46" t="str">
        <f>실험지시[[#This Row],[금형코드]]</f>
        <v>M251166_01</v>
      </c>
      <c r="M177" s="60">
        <f>IFERROR(VLOOKUP($A177,[5]실험의뢰_장진영!$A:$M,5,0),"")</f>
        <v>50</v>
      </c>
      <c r="N177" s="58" t="str">
        <f>IFERROR(VLOOKUP($A177,[5]실험의뢰_장진영!$A:$M,4,0),"")</f>
        <v>T1(MB 색상 맞춰서 사출 요망)</v>
      </c>
      <c r="O177" s="59">
        <f>IFERROR(VLOOKUP($A177,[5]실험의뢰_장진영!$A:$M,6,0),"")</f>
        <v>0</v>
      </c>
      <c r="P177" s="58" t="str">
        <f>IFERROR(VLOOKUP($A177,[5]실험의뢰_장진영!$A:$M,10,0),"")</f>
        <v>PP (롯데케미칼 J-560S)</v>
      </c>
      <c r="Q177" s="58">
        <f>IFERROR(VLOOKUP($A177,[5]실험의뢰_장진영!$A:$M,11,0),"")</f>
        <v>0</v>
      </c>
      <c r="R177" s="58">
        <f>IFERROR(VLOOKUP($A177,[5]실험의뢰_장진영!$A:$M,12,0),"")</f>
        <v>0</v>
      </c>
      <c r="S177" s="58">
        <f>IFERROR(VLOOKUP($A177,[5]실험의뢰_장진영!$A:$M,13,0),"")</f>
        <v>0</v>
      </c>
      <c r="T177" s="58"/>
    </row>
    <row r="178" spans="1:20" ht="30" customHeight="1">
      <c r="A178" s="58" t="s">
        <v>456</v>
      </c>
      <c r="B178" s="58" t="str">
        <f>IFERROR(VLOOKUP($A178,[5]실험의뢰_장진영!$A:$M,3,0),"")</f>
        <v>(EUSA)라네즈 실키앤스무스 토너 150mL (26 내캡</v>
      </c>
      <c r="C178" s="58" t="str">
        <f>IFERROR(VLOOKUP($A178,[5]실험의뢰_장진영!$A:$M,9,0),"")</f>
        <v>M251108_01</v>
      </c>
      <c r="D178" s="69" t="str">
        <f>IFERROR(VLOOKUP($A178,[5]실험의뢰_장진영!$A:$M,7,0),"")</f>
        <v>SI1606</v>
      </c>
      <c r="E178" s="1">
        <v>45833</v>
      </c>
      <c r="F178" t="s">
        <v>74</v>
      </c>
      <c r="G178" s="1" t="s">
        <v>341</v>
      </c>
      <c r="H178" t="s">
        <v>436</v>
      </c>
      <c r="I178" s="3">
        <v>4</v>
      </c>
      <c r="J178" s="46">
        <v>19</v>
      </c>
      <c r="L178" s="46" t="str">
        <f>실험지시[[#This Row],[금형코드]]</f>
        <v>M251108_01</v>
      </c>
      <c r="M178" s="60">
        <f>IFERROR(VLOOKUP($A178,[5]실험의뢰_장진영!$A:$M,5,0),"")</f>
        <v>100</v>
      </c>
      <c r="N178" s="58" t="str">
        <f>IFERROR(VLOOKUP($A178,[5]실험의뢰_장진영!$A:$M,4,0),"")</f>
        <v>내캡 추가 수정 - 캡뜨임 부족으로 내고 조정 및 리브 보강(금형 입고시 바로 사출 요망)</v>
      </c>
      <c r="O178" s="59">
        <f>IFERROR(VLOOKUP($A178,[5]실험의뢰_장진영!$A:$M,6,0),"")</f>
        <v>0</v>
      </c>
      <c r="P178" s="58" t="str">
        <f>IFERROR(VLOOKUP($A178,[5]실험의뢰_장진영!$A:$M,10,0),"")</f>
        <v>PP (다원소재 DW-2360)</v>
      </c>
      <c r="Q178" s="58">
        <f>IFERROR(VLOOKUP($A178,[5]실험의뢰_장진영!$A:$M,11,0),"")</f>
        <v>0</v>
      </c>
      <c r="R178" s="58">
        <f>IFERROR(VLOOKUP($A178,[5]실험의뢰_장진영!$A:$M,12,0),"")</f>
        <v>0</v>
      </c>
      <c r="S178" s="58">
        <f>IFERROR(VLOOKUP($A178,[5]실험의뢰_장진영!$A:$M,13,0),"")</f>
        <v>0</v>
      </c>
      <c r="T178" s="58"/>
    </row>
    <row r="179" spans="1:20" ht="30" customHeight="1">
      <c r="A179" s="58" t="s">
        <v>459</v>
      </c>
      <c r="B179" s="58" t="str">
        <f>IFERROR(VLOOKUP($A179,[5]실험의뢰_장진영!$A:$M,3,0),"")</f>
        <v>미쟝센 퍼펙트 오일 인퓨전 헤어 마스크150g(25 단용기</v>
      </c>
      <c r="C179" s="58" t="str">
        <f>IFERROR(VLOOKUP($A179,[5]실험의뢰_장진영!$A:$M,9,0),"")</f>
        <v>M251059_01</v>
      </c>
      <c r="D179" s="69" t="str">
        <f>IFERROR(VLOOKUP($A179,[5]실험의뢰_장진영!$A:$M,7,0),"")</f>
        <v>SI1601</v>
      </c>
      <c r="E179" s="1">
        <v>45835</v>
      </c>
      <c r="F179" t="s">
        <v>114</v>
      </c>
      <c r="G179" s="1" t="s">
        <v>157</v>
      </c>
      <c r="H179" t="s">
        <v>461</v>
      </c>
      <c r="I179" s="3">
        <v>4</v>
      </c>
      <c r="J179" s="46">
        <v>19</v>
      </c>
      <c r="K179" s="74">
        <v>250304</v>
      </c>
      <c r="L179" s="46" t="str">
        <f>실험지시[[#This Row],[금형코드]]</f>
        <v>M251059_01</v>
      </c>
      <c r="M179" s="60">
        <f>IFERROR(VLOOKUP($A179,[5]실험의뢰_장진영!$A:$M,5,0),"")</f>
        <v>150</v>
      </c>
      <c r="N179" s="58" t="str">
        <f>IFERROR(VLOOKUP($A179,[5]실험의뢰_장진영!$A:$M,4,0),"")</f>
        <v>금형 입고 시 바로 시사출 진행 요청, 요청MB로 해야 함</v>
      </c>
      <c r="O179" s="59">
        <f>IFERROR(VLOOKUP($A179,[5]실험의뢰_장진영!$A:$M,6,0),"")</f>
        <v>0</v>
      </c>
      <c r="P179" s="58" t="str">
        <f>IFERROR(VLOOKUP($A179,[5]실험의뢰_장진영!$A:$M,10,0),"")</f>
        <v>PP (롯데케미칼 J-560S)</v>
      </c>
      <c r="Q179" s="58">
        <f>IFERROR(VLOOKUP($A179,[5]실험의뢰_장진영!$A:$M,11,0),"")</f>
        <v>0</v>
      </c>
      <c r="R179" s="58">
        <f>IFERROR(VLOOKUP($A179,[5]실험의뢰_장진영!$A:$M,12,0),"")</f>
        <v>0</v>
      </c>
      <c r="S179" s="58">
        <f>IFERROR(VLOOKUP($A179,[5]실험의뢰_장진영!$A:$M,13,0),"")</f>
        <v>0</v>
      </c>
      <c r="T179" s="58"/>
    </row>
    <row r="180" spans="1:20" ht="30" customHeight="1">
      <c r="A180" s="58" t="s">
        <v>460</v>
      </c>
      <c r="B180" s="58" t="str">
        <f>IFERROR(VLOOKUP($A180,[5]실험의뢰_장진영!$A:$M,3,0),"")</f>
        <v>미쟝센 퍼펙트 오일 인퓨전 헤어 마스크150g(25 단캡</v>
      </c>
      <c r="C180" s="58" t="str">
        <f>IFERROR(VLOOKUP($A180,[5]실험의뢰_장진영!$A:$M,9,0),"")</f>
        <v>M251058_01</v>
      </c>
      <c r="D180" s="69" t="str">
        <f>IFERROR(VLOOKUP($A180,[5]실험의뢰_장진영!$A:$M,7,0),"")</f>
        <v>SI1600</v>
      </c>
      <c r="E180" s="1">
        <v>45835</v>
      </c>
      <c r="F180" t="s">
        <v>161</v>
      </c>
      <c r="G180" s="1" t="s">
        <v>157</v>
      </c>
      <c r="H180" t="s">
        <v>461</v>
      </c>
      <c r="I180" s="3">
        <v>4</v>
      </c>
      <c r="J180" s="46">
        <v>19</v>
      </c>
      <c r="K180" s="74">
        <v>250304</v>
      </c>
      <c r="L180" s="46" t="str">
        <f>실험지시[[#This Row],[금형코드]]</f>
        <v>M251058_01</v>
      </c>
      <c r="M180" s="60">
        <f>IFERROR(VLOOKUP($A180,[5]실험의뢰_장진영!$A:$M,5,0),"")</f>
        <v>150</v>
      </c>
      <c r="N180" s="58" t="str">
        <f>IFERROR(VLOOKUP($A180,[5]실험의뢰_장진영!$A:$M,4,0),"")</f>
        <v>요청MB로 사출해주세요(라벨테스트, 후가공테스트, 기능테스트 제출)</v>
      </c>
      <c r="O180" s="59">
        <f>IFERROR(VLOOKUP($A180,[5]실험의뢰_장진영!$A:$M,6,0),"")</f>
        <v>0</v>
      </c>
      <c r="P180" s="58" t="str">
        <f>IFERROR(VLOOKUP($A180,[5]실험의뢰_장진영!$A:$M,10,0),"")</f>
        <v>PP (롯데케미칼 J-560S)</v>
      </c>
      <c r="Q180" s="58">
        <f>IFERROR(VLOOKUP($A180,[5]실험의뢰_장진영!$A:$M,11,0),"")</f>
        <v>0</v>
      </c>
      <c r="R180" s="58">
        <f>IFERROR(VLOOKUP($A180,[5]실험의뢰_장진영!$A:$M,12,0),"")</f>
        <v>0</v>
      </c>
      <c r="S180" s="58">
        <f>IFERROR(VLOOKUP($A180,[5]실험의뢰_장진영!$A:$M,13,0),"")</f>
        <v>0</v>
      </c>
      <c r="T180" s="58"/>
    </row>
    <row r="181" spans="1:20" ht="30" customHeight="1">
      <c r="A181" s="58" t="s">
        <v>462</v>
      </c>
      <c r="B181" s="58" t="str">
        <f>IFERROR(VLOOKUP($A181,[5]실험의뢰_장진영!$A:$M,3,0),"")</f>
        <v>(EUSA)라네즈 실키앤스무스 토너 150mL (26 내캡</v>
      </c>
      <c r="C181" s="58" t="str">
        <f>IFERROR(VLOOKUP($A181,[5]실험의뢰_장진영!$A:$M,9,0),"")</f>
        <v>M251108_01</v>
      </c>
      <c r="D181" s="69" t="str">
        <f>IFERROR(VLOOKUP($A181,[5]실험의뢰_장진영!$A:$M,7,0),"")</f>
        <v>SI1606</v>
      </c>
      <c r="E181" s="1">
        <v>45840</v>
      </c>
      <c r="F181" t="s">
        <v>161</v>
      </c>
      <c r="G181" s="1" t="s">
        <v>463</v>
      </c>
      <c r="H181" t="s">
        <v>436</v>
      </c>
      <c r="I181" s="3">
        <v>4</v>
      </c>
      <c r="J181" s="46">
        <v>19</v>
      </c>
      <c r="K181" s="74">
        <v>250408</v>
      </c>
      <c r="L181" s="46" t="str">
        <f>실험지시[[#This Row],[금형코드]]</f>
        <v>M251108_01</v>
      </c>
      <c r="M181" s="60">
        <f>IFERROR(VLOOKUP($A181,[5]실험의뢰_장진영!$A:$M,5,0),"")</f>
        <v>100</v>
      </c>
      <c r="N181" s="58" t="str">
        <f>IFERROR(VLOOKUP($A181,[5]실험의뢰_장진영!$A:$M,4,0),"")</f>
        <v>계속 캡뜨임 불합격 판정으로 재질을 4017로 변경해보라는 요청</v>
      </c>
      <c r="O181" s="59">
        <f>IFERROR(VLOOKUP($A181,[5]실험의뢰_장진영!$A:$M,6,0),"")</f>
        <v>45840</v>
      </c>
      <c r="P181" s="58" t="str">
        <f>IFERROR(VLOOKUP($A181,[5]실험의뢰_장진영!$A:$M,10,0),"")</f>
        <v>PP (다원소재 DW-2360)</v>
      </c>
      <c r="Q181" s="58">
        <f>IFERROR(VLOOKUP($A181,[5]실험의뢰_장진영!$A:$M,11,0),"")</f>
        <v>0</v>
      </c>
      <c r="R181" s="58">
        <f>IFERROR(VLOOKUP($A181,[5]실험의뢰_장진영!$A:$M,12,0),"")</f>
        <v>0</v>
      </c>
      <c r="S181" s="58">
        <f>IFERROR(VLOOKUP($A181,[5]실험의뢰_장진영!$A:$M,13,0),"")</f>
        <v>0</v>
      </c>
      <c r="T181" s="58"/>
    </row>
    <row r="182" spans="1:20" ht="30" customHeight="1">
      <c r="A182" s="58" t="s">
        <v>465</v>
      </c>
      <c r="B182" s="58" t="str">
        <f>IFERROR(VLOOKUP($A182,[5]실험의뢰_장진영!$A:$M,3,0),"")</f>
        <v>홀리추얼 울트라 너리싱 어드밴스드 토너 150ML 외캡 사출</v>
      </c>
      <c r="C182" s="58" t="str">
        <f>IFERROR(VLOOKUP($A182,[5]실험의뢰_장진영!$A:$M,9,0),"")</f>
        <v>M251165_01</v>
      </c>
      <c r="D182" s="69" t="str">
        <f>IFERROR(VLOOKUP($A182,[5]실험의뢰_장진영!$A:$M,7,0),"")</f>
        <v>SI1609</v>
      </c>
      <c r="E182" s="1">
        <v>45841</v>
      </c>
      <c r="G182" s="1" t="s">
        <v>164</v>
      </c>
      <c r="H182" t="s">
        <v>455</v>
      </c>
      <c r="I182" s="3">
        <v>4</v>
      </c>
      <c r="J182" s="46">
        <v>16</v>
      </c>
      <c r="L182" s="46" t="str">
        <f>실험지시[[#This Row],[금형코드]]</f>
        <v>M251165_01</v>
      </c>
      <c r="M182" s="60">
        <f>IFERROR(VLOOKUP($A182,[5]실험의뢰_장진영!$A:$M,5,0),"")</f>
        <v>200</v>
      </c>
      <c r="N182" s="58">
        <f>IFERROR(VLOOKUP($A182,[5]실험의뢰_장진영!$A:$M,4,0),"")</f>
        <v>0</v>
      </c>
      <c r="O182" s="59">
        <f>IFERROR(VLOOKUP($A182,[5]실험의뢰_장진영!$A:$M,6,0),"")</f>
        <v>0</v>
      </c>
      <c r="P182" s="58" t="str">
        <f>IFERROR(VLOOKUP($A182,[5]실험의뢰_장진영!$A:$M,10,0),"")</f>
        <v>ABS (롯데첨단소재 MP-0670)</v>
      </c>
      <c r="Q182" s="58">
        <f>IFERROR(VLOOKUP($A182,[5]실험의뢰_장진영!$A:$M,11,0),"")</f>
        <v>0</v>
      </c>
      <c r="R182" s="58">
        <f>IFERROR(VLOOKUP($A182,[5]실험의뢰_장진영!$A:$M,12,0),"")</f>
        <v>0</v>
      </c>
      <c r="S182" s="58">
        <f>IFERROR(VLOOKUP($A182,[5]실험의뢰_장진영!$A:$M,13,0),"")</f>
        <v>0</v>
      </c>
      <c r="T182" s="58"/>
    </row>
    <row r="183" spans="1:20" ht="30" customHeight="1">
      <c r="A183" s="58" t="s">
        <v>466</v>
      </c>
      <c r="B183" s="58" t="str">
        <f>IFERROR(VLOOKUP($A183,[5]실험의뢰_장진영!$A:$M,3,0),"")</f>
        <v>홀리추얼 울트라 너리싱 어드밴스드 토너 150ML 캡장식 사출</v>
      </c>
      <c r="C183" s="58" t="str">
        <f>IFERROR(VLOOKUP($A183,[5]실험의뢰_장진영!$A:$M,9,0),"")</f>
        <v>M251167_01</v>
      </c>
      <c r="D183" s="69" t="str">
        <f>IFERROR(VLOOKUP($A183,[5]실험의뢰_장진영!$A:$M,7,0),"")</f>
        <v>SI1610</v>
      </c>
      <c r="E183" s="1">
        <v>45841</v>
      </c>
      <c r="F183" t="s">
        <v>74</v>
      </c>
      <c r="G183" s="1" t="s">
        <v>164</v>
      </c>
      <c r="I183" s="3"/>
      <c r="J183" s="46">
        <v>16</v>
      </c>
      <c r="L183" s="46" t="str">
        <f>실험지시[[#This Row],[금형코드]]</f>
        <v>M251167_01</v>
      </c>
      <c r="M183" s="60">
        <f>IFERROR(VLOOKUP($A183,[5]실험의뢰_장진영!$A:$M,5,0),"")</f>
        <v>200</v>
      </c>
      <c r="N183" s="58">
        <f>IFERROR(VLOOKUP($A183,[5]실험의뢰_장진영!$A:$M,4,0),"")</f>
        <v>0</v>
      </c>
      <c r="O183" s="59">
        <f>IFERROR(VLOOKUP($A183,[5]실험의뢰_장진영!$A:$M,6,0),"")</f>
        <v>0</v>
      </c>
      <c r="P183" s="58" t="str">
        <f>IFERROR(VLOOKUP($A183,[5]실험의뢰_장진영!$A:$M,10,0),"")</f>
        <v>ABS (롯데첨단소재 MP-0670)</v>
      </c>
      <c r="Q183" s="58">
        <f>IFERROR(VLOOKUP($A183,[5]실험의뢰_장진영!$A:$M,11,0),"")</f>
        <v>0</v>
      </c>
      <c r="R183" s="58">
        <f>IFERROR(VLOOKUP($A183,[5]실험의뢰_장진영!$A:$M,12,0),"")</f>
        <v>0</v>
      </c>
      <c r="S183" s="58">
        <f>IFERROR(VLOOKUP($A183,[5]실험의뢰_장진영!$A:$M,13,0),"")</f>
        <v>0</v>
      </c>
      <c r="T183" s="58"/>
    </row>
    <row r="184" spans="1:20" ht="30" customHeight="1">
      <c r="A184" s="58" t="s">
        <v>467</v>
      </c>
      <c r="B184" s="58" t="str">
        <f>IFERROR(VLOOKUP($A184,[5]실험의뢰_장진영!$A:$M,3,0),"")</f>
        <v>홀리추얼 울트라 너리싱 어드밴스드 토너 150ML 내캡</v>
      </c>
      <c r="C184" s="58" t="str">
        <f>IFERROR(VLOOKUP($A184,[5]실험의뢰_장진영!$A:$M,9,0),"")</f>
        <v>M251166_01</v>
      </c>
      <c r="D184" s="69" t="str">
        <f>IFERROR(VLOOKUP($A184,[5]실험의뢰_장진영!$A:$M,7,0),"")</f>
        <v>SI1611</v>
      </c>
      <c r="E184" s="1">
        <v>45841</v>
      </c>
      <c r="F184" t="s">
        <v>74</v>
      </c>
      <c r="G184" s="1" t="s">
        <v>464</v>
      </c>
      <c r="H184" t="s">
        <v>458</v>
      </c>
      <c r="I184" s="3">
        <v>6</v>
      </c>
      <c r="J184" s="46">
        <v>16</v>
      </c>
      <c r="L184" s="46" t="str">
        <f>실험지시[[#This Row],[금형코드]]</f>
        <v>M251166_01</v>
      </c>
      <c r="M184" s="60">
        <f>IFERROR(VLOOKUP($A184,[5]실험의뢰_장진영!$A:$M,5,0),"")</f>
        <v>200</v>
      </c>
      <c r="N184" s="58">
        <f>IFERROR(VLOOKUP($A184,[5]실험의뢰_장진영!$A:$M,4,0),"")</f>
        <v>0</v>
      </c>
      <c r="O184" s="59">
        <f>IFERROR(VLOOKUP($A184,[5]실험의뢰_장진영!$A:$M,6,0),"")</f>
        <v>0</v>
      </c>
      <c r="P184" s="58" t="str">
        <f>IFERROR(VLOOKUP($A184,[5]실험의뢰_장진영!$A:$M,10,0),"")</f>
        <v>PP (롯데케미칼 J-560S)</v>
      </c>
      <c r="Q184" s="58">
        <f>IFERROR(VLOOKUP($A184,[5]실험의뢰_장진영!$A:$M,11,0),"")</f>
        <v>0</v>
      </c>
      <c r="R184" s="58">
        <f>IFERROR(VLOOKUP($A184,[5]실험의뢰_장진영!$A:$M,12,0),"")</f>
        <v>0</v>
      </c>
      <c r="S184" s="58">
        <f>IFERROR(VLOOKUP($A184,[5]실험의뢰_장진영!$A:$M,13,0),"")</f>
        <v>0</v>
      </c>
      <c r="T184" s="58"/>
    </row>
    <row r="185" spans="1:20" ht="30" customHeight="1">
      <c r="A185" s="58" t="s">
        <v>468</v>
      </c>
      <c r="B185" s="58" t="str">
        <f>IFERROR(VLOOKUP($A185,[5]실험의뢰_장진영!$A:$M,3,0),"")</f>
        <v>홀리추얼 울트라 너리싱 어드밴스드 토너 150ML 캡장식 사출</v>
      </c>
      <c r="C185" s="58" t="str">
        <f>IFERROR(VLOOKUP($A185,[5]실험의뢰_장진영!$A:$M,9,0),"")</f>
        <v>M251167_01</v>
      </c>
      <c r="D185" s="69" t="str">
        <f>IFERROR(VLOOKUP($A185,[5]실험의뢰_장진영!$A:$M,7,0),"")</f>
        <v>SI1610</v>
      </c>
      <c r="E185" s="1">
        <v>45847</v>
      </c>
      <c r="F185" t="s">
        <v>74</v>
      </c>
      <c r="G185" s="1" t="s">
        <v>164</v>
      </c>
      <c r="I185" s="3"/>
      <c r="J185" s="46">
        <v>22</v>
      </c>
      <c r="L185" s="46" t="str">
        <f>실험지시[[#This Row],[금형코드]]</f>
        <v>M251167_01</v>
      </c>
      <c r="M185" s="60">
        <f>IFERROR(VLOOKUP($A185,[5]실험의뢰_장진영!$A:$M,5,0),"")</f>
        <v>200</v>
      </c>
      <c r="N185" s="58" t="str">
        <f>IFERROR(VLOOKUP($A185,[5]실험의뢰_장진영!$A:$M,4,0),"")</f>
        <v>라인테스트 및 표견 용</v>
      </c>
      <c r="O185" s="59">
        <f>IFERROR(VLOOKUP($A185,[5]실험의뢰_장진영!$A:$M,6,0),"")</f>
        <v>45852</v>
      </c>
      <c r="P185" s="58" t="str">
        <f>IFERROR(VLOOKUP($A185,[5]실험의뢰_장진영!$A:$M,10,0),"")</f>
        <v>ABS (롯데첨단소재 MP-0670)</v>
      </c>
      <c r="Q185" s="58">
        <f>IFERROR(VLOOKUP($A185,[5]실험의뢰_장진영!$A:$M,11,0),"")</f>
        <v>0</v>
      </c>
      <c r="R185" s="58">
        <f>IFERROR(VLOOKUP($A185,[5]실험의뢰_장진영!$A:$M,12,0),"")</f>
        <v>0</v>
      </c>
      <c r="S185" s="58">
        <f>IFERROR(VLOOKUP($A185,[5]실험의뢰_장진영!$A:$M,13,0),"")</f>
        <v>0</v>
      </c>
      <c r="T185" s="58"/>
    </row>
    <row r="186" spans="1:20" ht="30" customHeight="1">
      <c r="A186" s="58" t="s">
        <v>469</v>
      </c>
      <c r="B186" s="58" t="str">
        <f>IFERROR(VLOOKUP($A186,[5]실험의뢰_장진영!$A:$M,3,0),"")</f>
        <v>설화수 진설명작크림 60ML (26AD 내캡</v>
      </c>
      <c r="C186" s="58" t="str">
        <f>IFERROR(VLOOKUP($A186,[5]실험의뢰_장진영!$A:$M,9,0),"")</f>
        <v>M251184_01</v>
      </c>
      <c r="D186" s="69" t="str">
        <f>IFERROR(VLOOKUP($A186,[5]실험의뢰_장진영!$A:$M,7,0),"")</f>
        <v>SI1614</v>
      </c>
      <c r="E186" s="1">
        <v>45853</v>
      </c>
      <c r="F186" t="s">
        <v>74</v>
      </c>
      <c r="G186" s="1" t="s">
        <v>470</v>
      </c>
      <c r="H186" t="s">
        <v>471</v>
      </c>
      <c r="I186" s="3">
        <v>5</v>
      </c>
      <c r="J186" s="46">
        <v>13</v>
      </c>
      <c r="L186" s="46" t="str">
        <f>실험지시[[#This Row],[금형코드]]</f>
        <v>M251184_01</v>
      </c>
      <c r="M186" s="60">
        <f>IFERROR(VLOOKUP($A186,[5]실험의뢰_장진영!$A:$M,5,0),"")</f>
        <v>50</v>
      </c>
      <c r="N186" s="58" t="str">
        <f>IFERROR(VLOOKUP($A186,[5]실험의뢰_장진영!$A:$M,4,0),"")</f>
        <v>T1 시사출</v>
      </c>
      <c r="O186" s="59">
        <f>IFERROR(VLOOKUP($A186,[5]실험의뢰_장진영!$A:$M,6,0),"")</f>
        <v>45856</v>
      </c>
      <c r="P186" s="58" t="str">
        <f>IFERROR(VLOOKUP($A186,[5]실험의뢰_장진영!$A:$M,10,0),"")</f>
        <v>PP (대한유화 4017) (30%)
PP (다원소재 DW-2360) (70%)</v>
      </c>
      <c r="Q186" s="58">
        <f>IFERROR(VLOOKUP($A186,[5]실험의뢰_장진영!$A:$M,11,0),"")</f>
        <v>0</v>
      </c>
      <c r="R186" s="58">
        <f>IFERROR(VLOOKUP($A186,[5]실험의뢰_장진영!$A:$M,12,0),"")</f>
        <v>0</v>
      </c>
      <c r="S186" s="58">
        <f>IFERROR(VLOOKUP($A186,[5]실험의뢰_장진영!$A:$M,13,0),"")</f>
        <v>0</v>
      </c>
      <c r="T186" s="58"/>
    </row>
    <row r="187" spans="1:20" ht="30" customHeight="1">
      <c r="A187" s="58" t="s">
        <v>472</v>
      </c>
      <c r="B187" s="58" t="str">
        <f>IFERROR(VLOOKUP($A187,[5]실험의뢰_장진영!$A:$M,3,0),"")</f>
        <v>홀리추얼 울트라 너리싱 어드밴스드 토너 150ML 외캡 사출</v>
      </c>
      <c r="C187" s="58" t="str">
        <f>IFERROR(VLOOKUP($A187,[5]실험의뢰_장진영!$A:$M,9,0),"")</f>
        <v>M251165_01</v>
      </c>
      <c r="D187" s="69" t="str">
        <f>IFERROR(VLOOKUP($A187,[5]실험의뢰_장진영!$A:$M,7,0),"")</f>
        <v>SI1609</v>
      </c>
      <c r="E187" s="1">
        <v>45854</v>
      </c>
      <c r="F187" t="s">
        <v>74</v>
      </c>
      <c r="G187" s="1" t="s">
        <v>164</v>
      </c>
      <c r="H187" t="s">
        <v>455</v>
      </c>
      <c r="I187" s="3">
        <v>4</v>
      </c>
      <c r="J187" s="46">
        <v>17</v>
      </c>
      <c r="L187" s="46" t="str">
        <f>실험지시[[#This Row],[금형코드]]</f>
        <v>M251165_01</v>
      </c>
      <c r="M187" s="60">
        <f>IFERROR(VLOOKUP($A187,[5]실험의뢰_장진영!$A:$M,5,0),"")</f>
        <v>200</v>
      </c>
      <c r="N187" s="58" t="str">
        <f>IFERROR(VLOOKUP($A187,[5]실험의뢰_장진영!$A:$M,4,0),"")</f>
        <v>라인테스트 및 표견 용 - 빨리 진행 요청드립니다</v>
      </c>
      <c r="O187" s="59">
        <f>IFERROR(VLOOKUP($A187,[5]실험의뢰_장진영!$A:$M,6,0),"")</f>
        <v>45852</v>
      </c>
      <c r="P187" s="58" t="str">
        <f>IFERROR(VLOOKUP($A187,[5]실험의뢰_장진영!$A:$M,10,0),"")</f>
        <v>ABS (롯데첨단소재 MP-0670)</v>
      </c>
      <c r="Q187" s="58">
        <f>IFERROR(VLOOKUP($A187,[5]실험의뢰_장진영!$A:$M,11,0),"")</f>
        <v>0</v>
      </c>
      <c r="R187" s="58">
        <f>IFERROR(VLOOKUP($A187,[5]실험의뢰_장진영!$A:$M,12,0),"")</f>
        <v>0</v>
      </c>
      <c r="S187" s="58">
        <f>IFERROR(VLOOKUP($A187,[5]실험의뢰_장진영!$A:$M,13,0),"")</f>
        <v>0</v>
      </c>
      <c r="T187" s="58"/>
    </row>
    <row r="188" spans="1:20" ht="30" customHeight="1">
      <c r="A188" s="58" t="s">
        <v>473</v>
      </c>
      <c r="B188" s="58" t="str">
        <f>IFERROR(VLOOKUP($A188,[5]실험의뢰_장진영!$A:$M,3,0),"")</f>
        <v>설화수 진설명작크림 60ML (26AD 중용기</v>
      </c>
      <c r="C188" s="58" t="str">
        <f>IFERROR(VLOOKUP($A188,[5]실험의뢰_장진영!$A:$M,9,0),"")</f>
        <v>M251188_01</v>
      </c>
      <c r="D188" s="69" t="str">
        <f>IFERROR(VLOOKUP($A188,[5]실험의뢰_장진영!$A:$M,7,0),"")</f>
        <v>SI1617</v>
      </c>
      <c r="E188" s="1">
        <v>45855</v>
      </c>
      <c r="F188" t="s">
        <v>74</v>
      </c>
      <c r="G188" s="1" t="s">
        <v>164</v>
      </c>
      <c r="H188" t="s">
        <v>474</v>
      </c>
      <c r="I188" s="3">
        <v>5</v>
      </c>
      <c r="J188" s="46">
        <v>17</v>
      </c>
      <c r="L188" s="46" t="str">
        <f>실험지시[[#This Row],[금형코드]]</f>
        <v>M251188_01</v>
      </c>
      <c r="M188" s="60">
        <f>IFERROR(VLOOKUP($A188,[5]실험의뢰_장진영!$A:$M,5,0),"")</f>
        <v>50</v>
      </c>
      <c r="N188" s="58" t="str">
        <f>IFERROR(VLOOKUP($A188,[5]실험의뢰_장진영!$A:$M,4,0),"")</f>
        <v>T1 시사출</v>
      </c>
      <c r="O188" s="59">
        <f>IFERROR(VLOOKUP($A188,[5]실험의뢰_장진영!$A:$M,6,0),"")</f>
        <v>45856</v>
      </c>
      <c r="P188" s="58" t="str">
        <f>IFERROR(VLOOKUP($A188,[5]실험의뢰_장진영!$A:$M,10,0),"")</f>
        <v>ABS (롯데첨단소재 MP-0670)</v>
      </c>
      <c r="Q188" s="58">
        <f>IFERROR(VLOOKUP($A188,[5]실험의뢰_장진영!$A:$M,11,0),"")</f>
        <v>0</v>
      </c>
      <c r="R188" s="58">
        <f>IFERROR(VLOOKUP($A188,[5]실험의뢰_장진영!$A:$M,12,0),"")</f>
        <v>0</v>
      </c>
      <c r="S188" s="58">
        <f>IFERROR(VLOOKUP($A188,[5]실험의뢰_장진영!$A:$M,13,0),"")</f>
        <v>0</v>
      </c>
      <c r="T188" s="58"/>
    </row>
    <row r="189" spans="1:20" ht="30" customHeight="1">
      <c r="A189" s="58" t="s">
        <v>475</v>
      </c>
      <c r="B189" s="58" t="str">
        <f>IFERROR(VLOOKUP($A189,[5]실험의뢰_장진영!$A:$M,3,0),"")</f>
        <v>설화수 진설명작크림 60ML (26AD 용기받침 사출</v>
      </c>
      <c r="C189" s="58" t="str">
        <f>IFERROR(VLOOKUP($A189,[5]실험의뢰_장진영!$A:$M,9,0),"")</f>
        <v>M251190_01</v>
      </c>
      <c r="D189" s="69" t="str">
        <f>IFERROR(VLOOKUP($A189,[5]실험의뢰_장진영!$A:$M,7,0),"")</f>
        <v>SI1620</v>
      </c>
      <c r="E189" s="1">
        <v>45859</v>
      </c>
      <c r="F189" t="s">
        <v>161</v>
      </c>
      <c r="G189" s="1" t="s">
        <v>164</v>
      </c>
      <c r="H189" t="s">
        <v>474</v>
      </c>
      <c r="I189" s="3">
        <v>5</v>
      </c>
      <c r="J189" s="46">
        <v>22</v>
      </c>
      <c r="L189" s="46" t="str">
        <f>실험지시[[#This Row],[금형코드]]</f>
        <v>M251190_01</v>
      </c>
      <c r="M189" s="60">
        <f>IFERROR(VLOOKUP($A189,[5]실험의뢰_장진영!$A:$M,5,0),"")</f>
        <v>50</v>
      </c>
      <c r="N189" s="58" t="str">
        <f>IFERROR(VLOOKUP($A189,[5]실험의뢰_장진영!$A:$M,4,0),"")</f>
        <v>T1 시사출</v>
      </c>
      <c r="O189" s="59">
        <f>IFERROR(VLOOKUP($A189,[5]실험의뢰_장진영!$A:$M,6,0),"")</f>
        <v>45856</v>
      </c>
      <c r="P189" s="58" t="str">
        <f>IFERROR(VLOOKUP($A189,[5]실험의뢰_장진영!$A:$M,10,0),"")</f>
        <v>ABS (롯데첨단소재 MP-0670)</v>
      </c>
      <c r="Q189" s="58">
        <f>IFERROR(VLOOKUP($A189,[5]실험의뢰_장진영!$A:$M,11,0),"")</f>
        <v>0</v>
      </c>
      <c r="R189" s="58">
        <f>IFERROR(VLOOKUP($A189,[5]실험의뢰_장진영!$A:$M,12,0),"")</f>
        <v>0</v>
      </c>
      <c r="S189" s="58">
        <f>IFERROR(VLOOKUP($A189,[5]실험의뢰_장진영!$A:$M,13,0),"")</f>
        <v>0</v>
      </c>
      <c r="T189" s="58"/>
    </row>
    <row r="190" spans="1:20" ht="30" customHeight="1">
      <c r="A190" s="58" t="s">
        <v>476</v>
      </c>
      <c r="B190" s="58" t="str">
        <f>IFERROR(VLOOKUP($A190,[5]실험의뢰_장진영!$A:$M,3,0),"")</f>
        <v>설화수 진설명작크림 60ML (26AD 숄더장식 사출</v>
      </c>
      <c r="C190" s="58" t="str">
        <f>IFERROR(VLOOKUP($A190,[5]실험의뢰_장진영!$A:$M,9,0),"")</f>
        <v>M251191_01</v>
      </c>
      <c r="D190" s="69" t="str">
        <f>IFERROR(VLOOKUP($A190,[5]실험의뢰_장진영!$A:$M,7,0),"")</f>
        <v>SI1621</v>
      </c>
      <c r="E190" s="1">
        <v>45859</v>
      </c>
      <c r="F190" t="s">
        <v>161</v>
      </c>
      <c r="G190" s="1" t="s">
        <v>164</v>
      </c>
      <c r="H190" t="s">
        <v>474</v>
      </c>
      <c r="I190" s="3">
        <v>5</v>
      </c>
      <c r="J190" s="46">
        <v>22</v>
      </c>
      <c r="L190" s="46" t="str">
        <f>실험지시[[#This Row],[금형코드]]</f>
        <v>M251191_01</v>
      </c>
      <c r="M190" s="60">
        <f>IFERROR(VLOOKUP($A190,[5]실험의뢰_장진영!$A:$M,5,0),"")</f>
        <v>50</v>
      </c>
      <c r="N190" s="58" t="str">
        <f>IFERROR(VLOOKUP($A190,[5]실험의뢰_장진영!$A:$M,4,0),"")</f>
        <v>T1 시사출</v>
      </c>
      <c r="O190" s="59">
        <f>IFERROR(VLOOKUP($A190,[5]실험의뢰_장진영!$A:$M,6,0),"")</f>
        <v>45856</v>
      </c>
      <c r="P190" s="58" t="str">
        <f>IFERROR(VLOOKUP($A190,[5]실험의뢰_장진영!$A:$M,10,0),"")</f>
        <v>ABS (롯데첨단소재 MP-0670)</v>
      </c>
      <c r="Q190" s="58">
        <f>IFERROR(VLOOKUP($A190,[5]실험의뢰_장진영!$A:$M,11,0),"")</f>
        <v>0</v>
      </c>
      <c r="R190" s="58">
        <f>IFERROR(VLOOKUP($A190,[5]실험의뢰_장진영!$A:$M,12,0),"")</f>
        <v>0</v>
      </c>
      <c r="S190" s="58">
        <f>IFERROR(VLOOKUP($A190,[5]실험의뢰_장진영!$A:$M,13,0),"")</f>
        <v>0</v>
      </c>
      <c r="T190" s="58"/>
    </row>
    <row r="191" spans="1:20" ht="30" customHeight="1">
      <c r="A191" s="58" t="s">
        <v>477</v>
      </c>
      <c r="B191" s="58" t="str">
        <f>IFERROR(VLOOKUP($A191,[5]실험의뢰_장진영!$A:$M,3,0),"")</f>
        <v>설화수 진설명작크림 60ML (26AD 스파츌러대 사출</v>
      </c>
      <c r="C191" s="58" t="str">
        <f>IFERROR(VLOOKUP($A191,[5]실험의뢰_장진영!$A:$M,9,0),"")</f>
        <v>M251192_01</v>
      </c>
      <c r="D191" s="69" t="str">
        <f>IFERROR(VLOOKUP($A191,[5]실험의뢰_장진영!$A:$M,7,0),"")</f>
        <v>SI1622</v>
      </c>
      <c r="E191" s="1">
        <v>45859</v>
      </c>
      <c r="F191" t="s">
        <v>161</v>
      </c>
      <c r="G191" s="1" t="s">
        <v>164</v>
      </c>
      <c r="H191" t="s">
        <v>474</v>
      </c>
      <c r="I191" s="3">
        <v>5</v>
      </c>
      <c r="J191" s="46">
        <v>22</v>
      </c>
      <c r="L191" s="46" t="str">
        <f>실험지시[[#This Row],[금형코드]]</f>
        <v>M251192_01</v>
      </c>
      <c r="M191" s="60">
        <f>IFERROR(VLOOKUP($A191,[5]실험의뢰_장진영!$A:$M,5,0),"")</f>
        <v>50</v>
      </c>
      <c r="N191" s="58" t="str">
        <f>IFERROR(VLOOKUP($A191,[5]실험의뢰_장진영!$A:$M,4,0),"")</f>
        <v>T1 시사출</v>
      </c>
      <c r="O191" s="59">
        <f>IFERROR(VLOOKUP($A191,[5]실험의뢰_장진영!$A:$M,6,0),"")</f>
        <v>45856</v>
      </c>
      <c r="P191" s="58" t="str">
        <f>IFERROR(VLOOKUP($A191,[5]실험의뢰_장진영!$A:$M,10,0),"")</f>
        <v>ABS (롯데첨단소재 MP-0670)</v>
      </c>
      <c r="Q191" s="58">
        <f>IFERROR(VLOOKUP($A191,[5]실험의뢰_장진영!$A:$M,11,0),"")</f>
        <v>0</v>
      </c>
      <c r="R191" s="58">
        <f>IFERROR(VLOOKUP($A191,[5]실험의뢰_장진영!$A:$M,12,0),"")</f>
        <v>0</v>
      </c>
      <c r="S191" s="58">
        <f>IFERROR(VLOOKUP($A191,[5]실험의뢰_장진영!$A:$M,13,0),"")</f>
        <v>0</v>
      </c>
      <c r="T191" s="58"/>
    </row>
    <row r="192" spans="1:20" ht="30" customHeight="1">
      <c r="A192" s="58" t="s">
        <v>478</v>
      </c>
      <c r="B192" s="58" t="str">
        <f>IFERROR(VLOOKUP($A192,[5]실험의뢰_장진영!$A:$M,3,0),"")</f>
        <v>설화수 진설명작크림 60ML (26AD 캡장식-하단링</v>
      </c>
      <c r="C192" s="58" t="str">
        <f>IFERROR(VLOOKUP($A192,[5]실험의뢰_장진영!$A:$M,9,0),"")</f>
        <v>M251185_01</v>
      </c>
      <c r="D192" s="69" t="str">
        <f>IFERROR(VLOOKUP($A192,[5]실험의뢰_장진영!$A:$M,7,0),"")</f>
        <v>SI1615</v>
      </c>
      <c r="E192" s="1">
        <v>45854</v>
      </c>
      <c r="F192" t="s">
        <v>74</v>
      </c>
      <c r="G192" s="1" t="s">
        <v>164</v>
      </c>
      <c r="H192" t="s">
        <v>474</v>
      </c>
      <c r="I192" s="3">
        <v>5</v>
      </c>
      <c r="J192" s="46">
        <v>17</v>
      </c>
      <c r="L192" s="46" t="str">
        <f>실험지시[[#This Row],[금형코드]]</f>
        <v>M251185_01</v>
      </c>
      <c r="M192" s="60">
        <f>IFERROR(VLOOKUP($A192,[5]실험의뢰_장진영!$A:$M,5,0),"")</f>
        <v>50</v>
      </c>
      <c r="N192" s="58" t="str">
        <f>IFERROR(VLOOKUP($A192,[5]실험의뢰_장진영!$A:$M,4,0),"")</f>
        <v>T1 시사출</v>
      </c>
      <c r="O192" s="59">
        <f>IFERROR(VLOOKUP($A192,[5]실험의뢰_장진영!$A:$M,6,0),"")</f>
        <v>45856</v>
      </c>
      <c r="P192" s="58" t="str">
        <f>IFERROR(VLOOKUP($A192,[5]실험의뢰_장진영!$A:$M,10,0),"")</f>
        <v>ABS (롯데첨단소재 MP-0670)</v>
      </c>
      <c r="Q192" s="58">
        <f>IFERROR(VLOOKUP($A192,[5]실험의뢰_장진영!$A:$M,11,0),"")</f>
        <v>0</v>
      </c>
      <c r="R192" s="58">
        <f>IFERROR(VLOOKUP($A192,[5]실험의뢰_장진영!$A:$M,12,0),"")</f>
        <v>0</v>
      </c>
      <c r="S192" s="58">
        <f>IFERROR(VLOOKUP($A192,[5]실험의뢰_장진영!$A:$M,13,0),"")</f>
        <v>0</v>
      </c>
      <c r="T192" s="58"/>
    </row>
    <row r="193" spans="1:20" ht="30" customHeight="1">
      <c r="A193" s="58" t="s">
        <v>479</v>
      </c>
      <c r="B193" s="58" t="str">
        <f>IFERROR(VLOOKUP($A193,[5]실험의뢰_장진영!$A:$M,3,0),"")</f>
        <v>설화수 진설명작크림 60ML (26AD 내용기</v>
      </c>
      <c r="C193" s="58" t="str">
        <f>IFERROR(VLOOKUP($A193,[5]실험의뢰_장진영!$A:$M,9,0),"")</f>
        <v>M251187_01</v>
      </c>
      <c r="D193" s="69" t="str">
        <f>IFERROR(VLOOKUP($A193,[5]실험의뢰_장진영!$A:$M,7,0),"")</f>
        <v>SI1618</v>
      </c>
      <c r="E193" s="1">
        <v>45860</v>
      </c>
      <c r="F193" t="s">
        <v>161</v>
      </c>
      <c r="G193" s="1" t="s">
        <v>157</v>
      </c>
      <c r="H193" t="s">
        <v>480</v>
      </c>
      <c r="I193" s="3">
        <v>5</v>
      </c>
      <c r="J193" s="46">
        <v>22</v>
      </c>
      <c r="L193" s="46" t="str">
        <f>실험지시[[#This Row],[금형코드]]</f>
        <v>M251187_01</v>
      </c>
      <c r="M193" s="60">
        <f>IFERROR(VLOOKUP($A193,[5]실험의뢰_장진영!$A:$M,5,0),"")</f>
        <v>50</v>
      </c>
      <c r="N193" s="58" t="str">
        <f>IFERROR(VLOOKUP($A193,[5]실험의뢰_장진영!$A:$M,4,0),"")</f>
        <v>T1 시사출</v>
      </c>
      <c r="O193" s="59">
        <f>IFERROR(VLOOKUP($A193,[5]실험의뢰_장진영!$A:$M,6,0),"")</f>
        <v>45856</v>
      </c>
      <c r="P193" s="58" t="str">
        <f>IFERROR(VLOOKUP($A193,[5]실험의뢰_장진영!$A:$M,10,0),"")</f>
        <v>PP (롯데케미칼 J-560S)</v>
      </c>
      <c r="Q193" s="58">
        <f>IFERROR(VLOOKUP($A193,[5]실험의뢰_장진영!$A:$M,11,0),"")</f>
        <v>0</v>
      </c>
      <c r="R193" s="58">
        <f>IFERROR(VLOOKUP($A193,[5]실험의뢰_장진영!$A:$M,12,0),"")</f>
        <v>0</v>
      </c>
      <c r="S193" s="58">
        <f>IFERROR(VLOOKUP($A193,[5]실험의뢰_장진영!$A:$M,13,0),"")</f>
        <v>0</v>
      </c>
      <c r="T193" s="58"/>
    </row>
    <row r="194" spans="1:20" ht="30" customHeight="1">
      <c r="A194" s="58" t="s">
        <v>481</v>
      </c>
      <c r="B194" s="58" t="str">
        <f>IFERROR(VLOOKUP($A194,[5]실험의뢰_장진영!$A:$M,3,0),"")</f>
        <v>설화수 진설명작크림 60ML (26AD 사출덮개</v>
      </c>
      <c r="C194" s="58" t="str">
        <f>IFERROR(VLOOKUP($A194,[5]실험의뢰_장진영!$A:$M,9,0),"")</f>
        <v>M251186_01</v>
      </c>
      <c r="D194" s="69" t="str">
        <f>IFERROR(VLOOKUP($A194,[5]실험의뢰_장진영!$A:$M,7,0),"")</f>
        <v>SI1616</v>
      </c>
      <c r="E194" s="1">
        <v>45861</v>
      </c>
      <c r="F194" t="s">
        <v>161</v>
      </c>
      <c r="G194" s="100" t="s">
        <v>484</v>
      </c>
      <c r="H194" t="s">
        <v>485</v>
      </c>
      <c r="I194" s="3">
        <v>5</v>
      </c>
      <c r="J194" s="46">
        <v>20</v>
      </c>
      <c r="L194" s="46" t="str">
        <f>실험지시[[#This Row],[금형코드]]</f>
        <v>M251186_01</v>
      </c>
      <c r="M194" s="60">
        <f>IFERROR(VLOOKUP($A194,[5]실험의뢰_장진영!$A:$M,5,0),"")</f>
        <v>50</v>
      </c>
      <c r="N194" s="58" t="str">
        <f>IFERROR(VLOOKUP($A194,[5]실험의뢰_장진영!$A:$M,4,0),"")</f>
        <v>T1 시사출</v>
      </c>
      <c r="O194" s="59">
        <f>IFERROR(VLOOKUP($A194,[5]실험의뢰_장진영!$A:$M,6,0),"")</f>
        <v>45856</v>
      </c>
      <c r="P194" s="58" t="str">
        <f>IFERROR(VLOOKUP($A194,[5]실험의뢰_장진영!$A:$M,10,0),"")</f>
        <v>Hytrel (Dupont H7246)</v>
      </c>
      <c r="Q194" s="58">
        <f>IFERROR(VLOOKUP($A194,[5]실험의뢰_장진영!$A:$M,11,0),"")</f>
        <v>0</v>
      </c>
      <c r="R194" s="58">
        <f>IFERROR(VLOOKUP($A194,[5]실험의뢰_장진영!$A:$M,12,0),"")</f>
        <v>0</v>
      </c>
      <c r="S194" s="58">
        <f>IFERROR(VLOOKUP($A194,[5]실험의뢰_장진영!$A:$M,13,0),"")</f>
        <v>0</v>
      </c>
      <c r="T194" s="58"/>
    </row>
    <row r="195" spans="1:20" ht="30" customHeight="1">
      <c r="A195" s="58" t="s">
        <v>482</v>
      </c>
      <c r="B195" s="58" t="str">
        <f>IFERROR(VLOOKUP($A195,[5]실험의뢰_장진영!$A:$M,3,0),"")</f>
        <v>설화수 진설명작크림 (견) 10ML (AD 사출덮개</v>
      </c>
      <c r="C195" s="58" t="str">
        <f>IFERROR(VLOOKUP($A195,[5]실험의뢰_장진영!$A:$M,9,0),"")</f>
        <v>M251178_01</v>
      </c>
      <c r="D195" s="69" t="str">
        <f>IFERROR(VLOOKUP($A195,[5]실험의뢰_장진영!$A:$M,7,0),"")</f>
        <v>SI1629</v>
      </c>
      <c r="E195" s="1">
        <v>45861</v>
      </c>
      <c r="F195" t="s">
        <v>161</v>
      </c>
      <c r="G195" s="100" t="s">
        <v>484</v>
      </c>
      <c r="H195" t="s">
        <v>485</v>
      </c>
      <c r="I195" s="3">
        <v>5</v>
      </c>
      <c r="J195" s="46">
        <v>20</v>
      </c>
      <c r="L195" s="46" t="str">
        <f>실험지시[[#This Row],[금형코드]]</f>
        <v>M251178_01</v>
      </c>
      <c r="M195" s="60">
        <f>IFERROR(VLOOKUP($A195,[5]실험의뢰_장진영!$A:$M,5,0),"")</f>
        <v>50</v>
      </c>
      <c r="N195" s="58" t="str">
        <f>IFERROR(VLOOKUP($A195,[5]실험의뢰_장진영!$A:$M,4,0),"")</f>
        <v>T1 시사출</v>
      </c>
      <c r="O195" s="59">
        <f>IFERROR(VLOOKUP($A195,[5]실험의뢰_장진영!$A:$M,6,0),"")</f>
        <v>0</v>
      </c>
      <c r="P195" s="58" t="str">
        <f>IFERROR(VLOOKUP($A195,[5]실험의뢰_장진영!$A:$M,10,0),"")</f>
        <v>Hytrel (Dupont H7246)</v>
      </c>
      <c r="Q195" s="58">
        <f>IFERROR(VLOOKUP($A195,[5]실험의뢰_장진영!$A:$M,11,0),"")</f>
        <v>0</v>
      </c>
      <c r="R195" s="58">
        <f>IFERROR(VLOOKUP($A195,[5]실험의뢰_장진영!$A:$M,12,0),"")</f>
        <v>0</v>
      </c>
      <c r="S195" s="58">
        <f>IFERROR(VLOOKUP($A195,[5]실험의뢰_장진영!$A:$M,13,0),"")</f>
        <v>0</v>
      </c>
      <c r="T195" s="58"/>
    </row>
    <row r="196" spans="1:20" ht="30" customHeight="1">
      <c r="A196" s="58" t="s">
        <v>483</v>
      </c>
      <c r="B196" s="58" t="str">
        <f>IFERROR(VLOOKUP($A196,[5]실험의뢰_장진영!$A:$M,3,0),"")</f>
        <v>설화수 진설명작크림 (견) 5ML (AD 사출덮개</v>
      </c>
      <c r="C196" s="58" t="str">
        <f>IFERROR(VLOOKUP($A196,[5]실험의뢰_장진영!$A:$M,9,0),"")</f>
        <v>M251183_01</v>
      </c>
      <c r="D196" s="69" t="str">
        <f>IFERROR(VLOOKUP($A196,[5]실험의뢰_장진영!$A:$M,7,0),"")</f>
        <v>SI1634</v>
      </c>
      <c r="E196" s="1">
        <v>45861</v>
      </c>
      <c r="F196" t="s">
        <v>161</v>
      </c>
      <c r="G196" s="100" t="s">
        <v>484</v>
      </c>
      <c r="H196" t="s">
        <v>485</v>
      </c>
      <c r="I196" s="3">
        <v>5</v>
      </c>
      <c r="J196" s="46">
        <v>20</v>
      </c>
      <c r="L196" s="46" t="str">
        <f>실험지시[[#This Row],[금형코드]]</f>
        <v>M251183_01</v>
      </c>
      <c r="M196" s="60">
        <f>IFERROR(VLOOKUP($A196,[5]실험의뢰_장진영!$A:$M,5,0),"")</f>
        <v>50</v>
      </c>
      <c r="N196" s="58" t="str">
        <f>IFERROR(VLOOKUP($A196,[5]실험의뢰_장진영!$A:$M,4,0),"")</f>
        <v>T1 시사출</v>
      </c>
      <c r="O196" s="59">
        <f>IFERROR(VLOOKUP($A196,[5]실험의뢰_장진영!$A:$M,6,0),"")</f>
        <v>45862</v>
      </c>
      <c r="P196" s="58" t="str">
        <f>IFERROR(VLOOKUP($A196,[5]실험의뢰_장진영!$A:$M,10,0),"")</f>
        <v>Hytrel (Dupont H7246)</v>
      </c>
      <c r="Q196" s="58">
        <f>IFERROR(VLOOKUP($A196,[5]실험의뢰_장진영!$A:$M,11,0),"")</f>
        <v>0</v>
      </c>
      <c r="R196" s="58">
        <f>IFERROR(VLOOKUP($A196,[5]실험의뢰_장진영!$A:$M,12,0),"")</f>
        <v>0</v>
      </c>
      <c r="S196" s="58">
        <f>IFERROR(VLOOKUP($A196,[5]실험의뢰_장진영!$A:$M,13,0),"")</f>
        <v>0</v>
      </c>
      <c r="T196" s="58"/>
    </row>
    <row r="197" spans="1:20" ht="30" customHeight="1">
      <c r="A197" s="58" t="s">
        <v>486</v>
      </c>
      <c r="B197" s="58" t="str">
        <f>IFERROR(VLOOKUP($A197,[5]실험의뢰_장진영!$A:$M,3,0),"")</f>
        <v>설화수 진설명작크림 60ML (26AD 외용기</v>
      </c>
      <c r="C197" s="58" t="str">
        <f>IFERROR(VLOOKUP($A197,[5]실험의뢰_장진영!$A:$M,9,0),"")</f>
        <v>M251189_01</v>
      </c>
      <c r="D197" s="69" t="str">
        <f>IFERROR(VLOOKUP($A197,[5]실험의뢰_장진영!$A:$M,7,0),"")</f>
        <v>SI1619</v>
      </c>
      <c r="E197" s="1">
        <v>45862</v>
      </c>
      <c r="F197" t="s">
        <v>161</v>
      </c>
      <c r="G197" s="1" t="s">
        <v>487</v>
      </c>
      <c r="H197" t="s">
        <v>488</v>
      </c>
      <c r="I197" s="3">
        <v>5</v>
      </c>
      <c r="J197" s="46">
        <v>17</v>
      </c>
      <c r="L197" s="46" t="str">
        <f>실험지시[[#This Row],[금형코드]]</f>
        <v>M251189_01</v>
      </c>
      <c r="M197" s="60">
        <f>IFERROR(VLOOKUP($A197,[5]실험의뢰_장진영!$A:$M,5,0),"")</f>
        <v>50</v>
      </c>
      <c r="N197" s="58" t="str">
        <f>IFERROR(VLOOKUP($A197,[5]실험의뢰_장진영!$A:$M,4,0),"")</f>
        <v>T1 시사출</v>
      </c>
      <c r="O197" s="59">
        <f>IFERROR(VLOOKUP($A197,[5]실험의뢰_장진영!$A:$M,6,0),"")</f>
        <v>45856</v>
      </c>
      <c r="P197" s="58" t="str">
        <f>IFERROR(VLOOKUP($A197,[5]실험의뢰_장진영!$A:$M,10,0),"")</f>
        <v>PETG (SK케미칼 PN200)</v>
      </c>
      <c r="Q197" s="58">
        <f>IFERROR(VLOOKUP($A197,[5]실험의뢰_장진영!$A:$M,11,0),"")</f>
        <v>0</v>
      </c>
      <c r="R197" s="58">
        <f>IFERROR(VLOOKUP($A197,[5]실험의뢰_장진영!$A:$M,12,0),"")</f>
        <v>0</v>
      </c>
      <c r="S197" s="58">
        <f>IFERROR(VLOOKUP($A197,[5]실험의뢰_장진영!$A:$M,13,0),"")</f>
        <v>0</v>
      </c>
      <c r="T197" s="58"/>
    </row>
    <row r="198" spans="1:20" ht="30" customHeight="1">
      <c r="A198" s="58" t="s">
        <v>489</v>
      </c>
      <c r="B198" s="58" t="str">
        <f>IFERROR(VLOOKUP($A198,[5]실험의뢰_장진영!$A:$M,3,0),"")</f>
        <v>설화수 진설명작크림 리필 60ML (26AD 단캡</v>
      </c>
      <c r="C198" s="58" t="str">
        <f>IFERROR(VLOOKUP($A198,[5]실험의뢰_장진영!$A:$M,9,0),"")</f>
        <v>M251217_01</v>
      </c>
      <c r="D198" s="69" t="str">
        <f>IFERROR(VLOOKUP($A198,[5]실험의뢰_장진영!$A:$M,7,0),"")</f>
        <v>SI1623</v>
      </c>
      <c r="E198" s="1">
        <v>45862</v>
      </c>
      <c r="F198" t="s">
        <v>161</v>
      </c>
      <c r="G198" s="1" t="s">
        <v>487</v>
      </c>
      <c r="H198" t="s">
        <v>488</v>
      </c>
      <c r="I198" s="3">
        <v>5</v>
      </c>
      <c r="J198" s="46">
        <v>17</v>
      </c>
      <c r="L198" s="46" t="str">
        <f>실험지시[[#This Row],[금형코드]]</f>
        <v>M251217_01</v>
      </c>
      <c r="M198" s="60">
        <f>IFERROR(VLOOKUP($A198,[5]실험의뢰_장진영!$A:$M,5,0),"")</f>
        <v>50</v>
      </c>
      <c r="N198" s="58" t="str">
        <f>IFERROR(VLOOKUP($A198,[5]실험의뢰_장진영!$A:$M,4,0),"")</f>
        <v>T1 시사출</v>
      </c>
      <c r="O198" s="59">
        <f>IFERROR(VLOOKUP($A198,[5]실험의뢰_장진영!$A:$M,6,0),"")</f>
        <v>45856</v>
      </c>
      <c r="P198" s="58" t="str">
        <f>IFERROR(VLOOKUP($A198,[5]실험의뢰_장진영!$A:$M,10,0),"")</f>
        <v>PETG (SK케미칼 PN200)</v>
      </c>
      <c r="Q198" s="58">
        <f>IFERROR(VLOOKUP($A198,[5]실험의뢰_장진영!$A:$M,11,0),"")</f>
        <v>0</v>
      </c>
      <c r="R198" s="58">
        <f>IFERROR(VLOOKUP($A198,[5]실험의뢰_장진영!$A:$M,12,0),"")</f>
        <v>0</v>
      </c>
      <c r="S198" s="58">
        <f>IFERROR(VLOOKUP($A198,[5]실험의뢰_장진영!$A:$M,13,0),"")</f>
        <v>0</v>
      </c>
      <c r="T198" s="58"/>
    </row>
    <row r="199" spans="1:20" ht="30" customHeight="1">
      <c r="A199" s="58" t="s">
        <v>490</v>
      </c>
      <c r="B199" s="58" t="str">
        <f>IFERROR(VLOOKUP($A199,[5]실험의뢰_장진영!$A:$M,3,0),"")</f>
        <v>설화수 진설명작크림 (견) 5ML (AD 외캡</v>
      </c>
      <c r="C199" s="58" t="str">
        <f>IFERROR(VLOOKUP($A199,[5]실험의뢰_장진영!$A:$M,9,0),"")</f>
        <v>M251180_01</v>
      </c>
      <c r="D199" s="69" t="str">
        <f>IFERROR(VLOOKUP($A199,[5]실험의뢰_장진영!$A:$M,7,0),"")</f>
        <v>SI1630</v>
      </c>
      <c r="E199" s="1">
        <v>45867</v>
      </c>
      <c r="F199" t="s">
        <v>161</v>
      </c>
      <c r="G199" s="1" t="s">
        <v>164</v>
      </c>
      <c r="H199" t="s">
        <v>474</v>
      </c>
      <c r="I199" s="3">
        <v>5</v>
      </c>
      <c r="J199" s="46">
        <v>24</v>
      </c>
      <c r="L199" s="46" t="str">
        <f>실험지시[[#This Row],[금형코드]]</f>
        <v>M251180_01</v>
      </c>
      <c r="M199" s="60">
        <f>IFERROR(VLOOKUP($A199,[5]실험의뢰_장진영!$A:$M,5,0),"")</f>
        <v>50</v>
      </c>
      <c r="N199" s="58" t="str">
        <f>IFERROR(VLOOKUP($A199,[5]실험의뢰_장진영!$A:$M,4,0),"")</f>
        <v xml:space="preserve">T1 시사출 </v>
      </c>
      <c r="O199" s="59">
        <f>IFERROR(VLOOKUP($A199,[5]실험의뢰_장진영!$A:$M,6,0),"")</f>
        <v>0</v>
      </c>
      <c r="P199" s="58" t="str">
        <f>IFERROR(VLOOKUP($A199,[5]실험의뢰_장진영!$A:$M,10,0),"")</f>
        <v>ABS (롯데첨단소재 MP-0670)</v>
      </c>
      <c r="Q199" s="58">
        <f>IFERROR(VLOOKUP($A199,[5]실험의뢰_장진영!$A:$M,11,0),"")</f>
        <v>0</v>
      </c>
      <c r="R199" s="58">
        <f>IFERROR(VLOOKUP($A199,[5]실험의뢰_장진영!$A:$M,12,0),"")</f>
        <v>0</v>
      </c>
      <c r="S199" s="58">
        <f>IFERROR(VLOOKUP($A199,[5]실험의뢰_장진영!$A:$M,13,0),"")</f>
        <v>0</v>
      </c>
      <c r="T199" s="58"/>
    </row>
    <row r="200" spans="1:20" ht="30" customHeight="1">
      <c r="A200" s="58" t="s">
        <v>491</v>
      </c>
      <c r="B200" s="58" t="str">
        <f>IFERROR(VLOOKUP($A200,[5]실험의뢰_장진영!$A:$M,3,0),"")</f>
        <v>설화수 진설명작크림 (견) 5ML (AD 용기받침</v>
      </c>
      <c r="C200" s="58" t="str">
        <f>IFERROR(VLOOKUP($A200,[5]실험의뢰_장진영!$A:$M,9,0),"")</f>
        <v>M251182_01</v>
      </c>
      <c r="D200" s="69" t="str">
        <f>IFERROR(VLOOKUP($A200,[5]실험의뢰_장진영!$A:$M,7,0),"")</f>
        <v>SI1633</v>
      </c>
      <c r="E200" s="1">
        <v>45868</v>
      </c>
      <c r="F200" t="s">
        <v>161</v>
      </c>
      <c r="G200" s="1" t="s">
        <v>164</v>
      </c>
      <c r="H200" t="s">
        <v>474</v>
      </c>
      <c r="I200" s="3">
        <v>5</v>
      </c>
      <c r="J200" s="46">
        <v>24</v>
      </c>
      <c r="L200" s="46" t="str">
        <f>실험지시[[#This Row],[금형코드]]</f>
        <v>M251182_01</v>
      </c>
      <c r="M200" s="60">
        <f>IFERROR(VLOOKUP($A200,[5]실험의뢰_장진영!$A:$M,5,0),"")</f>
        <v>50</v>
      </c>
      <c r="N200" s="58" t="str">
        <f>IFERROR(VLOOKUP($A200,[5]실험의뢰_장진영!$A:$M,4,0),"")</f>
        <v>T1 시사출</v>
      </c>
      <c r="O200" s="59">
        <f>IFERROR(VLOOKUP($A200,[5]실험의뢰_장진영!$A:$M,6,0),"")</f>
        <v>0</v>
      </c>
      <c r="P200" s="58" t="str">
        <f>IFERROR(VLOOKUP($A200,[5]실험의뢰_장진영!$A:$M,10,0),"")</f>
        <v>ABS (롯데첨단소재 MP-0670)</v>
      </c>
      <c r="Q200" s="58">
        <f>IFERROR(VLOOKUP($A200,[5]실험의뢰_장진영!$A:$M,11,0),"")</f>
        <v>0</v>
      </c>
      <c r="R200" s="58">
        <f>IFERROR(VLOOKUP($A200,[5]실험의뢰_장진영!$A:$M,12,0),"")</f>
        <v>0</v>
      </c>
      <c r="S200" s="58">
        <f>IFERROR(VLOOKUP($A200,[5]실험의뢰_장진영!$A:$M,13,0),"")</f>
        <v>0</v>
      </c>
      <c r="T200" s="58"/>
    </row>
    <row r="201" spans="1:20" ht="30" customHeight="1">
      <c r="A201" s="58" t="s">
        <v>492</v>
      </c>
      <c r="B201" s="58" t="str">
        <f>IFERROR(VLOOKUP($A201,[5]실험의뢰_장진영!$A:$M,3,0),"")</f>
        <v>설화수 진설명작크림 (견) 10ML (AD 외캡</v>
      </c>
      <c r="C201" s="58" t="str">
        <f>IFERROR(VLOOKUP($A201,[5]실험의뢰_장진영!$A:$M,9,0),"")</f>
        <v>M251175_01</v>
      </c>
      <c r="D201" s="69" t="str">
        <f>IFERROR(VLOOKUP($A201,[5]실험의뢰_장진영!$A:$M,7,0),"")</f>
        <v>SI1625</v>
      </c>
      <c r="E201" s="1">
        <v>45867</v>
      </c>
      <c r="F201" t="s">
        <v>161</v>
      </c>
      <c r="G201" s="1" t="s">
        <v>164</v>
      </c>
      <c r="H201" t="s">
        <v>474</v>
      </c>
      <c r="I201" s="3">
        <v>5</v>
      </c>
      <c r="J201" s="46">
        <v>24</v>
      </c>
      <c r="L201" s="46" t="str">
        <f>실험지시[[#This Row],[금형코드]]</f>
        <v>M251175_01</v>
      </c>
      <c r="M201" s="60">
        <f>IFERROR(VLOOKUP($A201,[5]실험의뢰_장진영!$A:$M,5,0),"")</f>
        <v>50</v>
      </c>
      <c r="N201" s="58" t="str">
        <f>IFERROR(VLOOKUP($A201,[5]실험의뢰_장진영!$A:$M,4,0),"")</f>
        <v>T1 시사출</v>
      </c>
      <c r="O201" s="59">
        <f>IFERROR(VLOOKUP($A201,[5]실험의뢰_장진영!$A:$M,6,0),"")</f>
        <v>0</v>
      </c>
      <c r="P201" s="58" t="str">
        <f>IFERROR(VLOOKUP($A201,[5]실험의뢰_장진영!$A:$M,10,0),"")</f>
        <v>ABS (롯데첨단소재 MP-0670)</v>
      </c>
      <c r="Q201" s="58">
        <f>IFERROR(VLOOKUP($A201,[5]실험의뢰_장진영!$A:$M,11,0),"")</f>
        <v>0</v>
      </c>
      <c r="R201" s="58">
        <f>IFERROR(VLOOKUP($A201,[5]실험의뢰_장진영!$A:$M,12,0),"")</f>
        <v>0</v>
      </c>
      <c r="S201" s="58">
        <f>IFERROR(VLOOKUP($A201,[5]실험의뢰_장진영!$A:$M,13,0),"")</f>
        <v>0</v>
      </c>
      <c r="T201" s="58"/>
    </row>
    <row r="202" spans="1:20" ht="30" customHeight="1">
      <c r="A202" s="58" t="s">
        <v>493</v>
      </c>
      <c r="B202" s="58" t="str">
        <f>IFERROR(VLOOKUP($A202,[5]실험의뢰_장진영!$A:$M,3,0),"")</f>
        <v>설화수 진설명작크림 (견) 10ML (AD 용기받침</v>
      </c>
      <c r="C202" s="58" t="str">
        <f>IFERROR(VLOOKUP($A202,[5]실험의뢰_장진영!$A:$M,9,0),"")</f>
        <v>M251176_01</v>
      </c>
      <c r="D202" s="69" t="str">
        <f>IFERROR(VLOOKUP($A202,[5]실험의뢰_장진영!$A:$M,7,0),"")</f>
        <v>SI1627</v>
      </c>
      <c r="E202" s="1">
        <v>45867</v>
      </c>
      <c r="F202" t="s">
        <v>161</v>
      </c>
      <c r="G202" s="1" t="s">
        <v>164</v>
      </c>
      <c r="H202" t="s">
        <v>474</v>
      </c>
      <c r="I202" s="3">
        <v>5</v>
      </c>
      <c r="J202" s="46">
        <v>24</v>
      </c>
      <c r="L202" s="46" t="str">
        <f>실험지시[[#This Row],[금형코드]]</f>
        <v>M251176_01</v>
      </c>
      <c r="M202" s="60">
        <f>IFERROR(VLOOKUP($A202,[5]실험의뢰_장진영!$A:$M,5,0),"")</f>
        <v>50</v>
      </c>
      <c r="N202" s="58" t="str">
        <f>IFERROR(VLOOKUP($A202,[5]실험의뢰_장진영!$A:$M,4,0),"")</f>
        <v>T1 시사출</v>
      </c>
      <c r="O202" s="59">
        <f>IFERROR(VLOOKUP($A202,[5]실험의뢰_장진영!$A:$M,6,0),"")</f>
        <v>0</v>
      </c>
      <c r="P202" s="58" t="str">
        <f>IFERROR(VLOOKUP($A202,[5]실험의뢰_장진영!$A:$M,10,0),"")</f>
        <v>ABS (롯데첨단소재 MP-0670)</v>
      </c>
      <c r="Q202" s="58">
        <f>IFERROR(VLOOKUP($A202,[5]실험의뢰_장진영!$A:$M,11,0),"")</f>
        <v>0</v>
      </c>
      <c r="R202" s="58">
        <f>IFERROR(VLOOKUP($A202,[5]실험의뢰_장진영!$A:$M,12,0),"")</f>
        <v>0</v>
      </c>
      <c r="S202" s="58">
        <f>IFERROR(VLOOKUP($A202,[5]실험의뢰_장진영!$A:$M,13,0),"")</f>
        <v>0</v>
      </c>
      <c r="T202" s="58"/>
    </row>
    <row r="203" spans="1:20" ht="30" customHeight="1">
      <c r="A203" s="58" t="s">
        <v>494</v>
      </c>
      <c r="B203" s="58" t="str">
        <f>IFERROR(VLOOKUP($A203,[5]실험의뢰_장진영!$A:$M,3,0),"")</f>
        <v>설화수 진설명작크림 (견) 5ML (AD 내캡</v>
      </c>
      <c r="C203" s="58" t="str">
        <f>IFERROR(VLOOKUP($A203,[5]실험의뢰_장진영!$A:$M,9,0),"")</f>
        <v>M251179_01</v>
      </c>
      <c r="D203" s="69" t="str">
        <f>IFERROR(VLOOKUP($A203,[5]실험의뢰_장진영!$A:$M,7,0),"")</f>
        <v>SI1631</v>
      </c>
      <c r="E203" s="1">
        <v>45869</v>
      </c>
      <c r="F203" t="s">
        <v>161</v>
      </c>
      <c r="G203" s="1" t="s">
        <v>341</v>
      </c>
      <c r="H203" t="s">
        <v>471</v>
      </c>
      <c r="I203" s="3">
        <v>5</v>
      </c>
      <c r="J203" s="46">
        <v>24</v>
      </c>
      <c r="L203" s="46" t="str">
        <f>실험지시[[#This Row],[금형코드]]</f>
        <v>M251179_01</v>
      </c>
      <c r="M203" s="60">
        <f>IFERROR(VLOOKUP($A203,[5]실험의뢰_장진영!$A:$M,5,0),"")</f>
        <v>50</v>
      </c>
      <c r="N203" s="58" t="str">
        <f>IFERROR(VLOOKUP($A203,[5]실험의뢰_장진영!$A:$M,4,0),"")</f>
        <v>T1 시사출</v>
      </c>
      <c r="O203" s="59">
        <f>IFERROR(VLOOKUP($A203,[5]실험의뢰_장진영!$A:$M,6,0),"")</f>
        <v>0</v>
      </c>
      <c r="P203" s="58" t="str">
        <f>IFERROR(VLOOKUP($A203,[5]실험의뢰_장진영!$A:$M,10,0),"")</f>
        <v>PP (대한유화 4017) (30%)
PP (다원소재 DW-2360) (70%)</v>
      </c>
      <c r="Q203" s="58">
        <f>IFERROR(VLOOKUP($A203,[5]실험의뢰_장진영!$A:$M,11,0),"")</f>
        <v>0</v>
      </c>
      <c r="R203" s="58">
        <f>IFERROR(VLOOKUP($A203,[5]실험의뢰_장진영!$A:$M,12,0),"")</f>
        <v>0</v>
      </c>
      <c r="S203" s="58">
        <f>IFERROR(VLOOKUP($A203,[5]실험의뢰_장진영!$A:$M,13,0),"")</f>
        <v>0</v>
      </c>
      <c r="T203" s="58"/>
    </row>
    <row r="204" spans="1:20" ht="30" customHeight="1">
      <c r="A204" s="58" t="s">
        <v>495</v>
      </c>
      <c r="B204" s="58" t="str">
        <f>IFERROR(VLOOKUP($A204,[5]실험의뢰_장진영!$A:$M,3,0),"")</f>
        <v>설화수 진설명작크림 (견) 10ML (AD 내캡</v>
      </c>
      <c r="C204" s="58" t="str">
        <f>IFERROR(VLOOKUP($A204,[5]실험의뢰_장진영!$A:$M,9,0),"")</f>
        <v>M251174_01</v>
      </c>
      <c r="D204" s="69" t="str">
        <f>IFERROR(VLOOKUP($A204,[5]실험의뢰_장진영!$A:$M,7,0),"")</f>
        <v>SI1626</v>
      </c>
      <c r="E204" s="1">
        <v>45869</v>
      </c>
      <c r="F204" t="s">
        <v>161</v>
      </c>
      <c r="G204" s="1" t="s">
        <v>341</v>
      </c>
      <c r="H204" t="s">
        <v>471</v>
      </c>
      <c r="I204" s="3">
        <v>5</v>
      </c>
      <c r="J204" s="46">
        <v>24</v>
      </c>
      <c r="L204" s="46" t="str">
        <f>실험지시[[#This Row],[금형코드]]</f>
        <v>M251174_01</v>
      </c>
      <c r="M204" s="60">
        <f>IFERROR(VLOOKUP($A204,[5]실험의뢰_장진영!$A:$M,5,0),"")</f>
        <v>50</v>
      </c>
      <c r="N204" s="58" t="str">
        <f>IFERROR(VLOOKUP($A204,[5]실험의뢰_장진영!$A:$M,4,0),"")</f>
        <v>T1 시사출</v>
      </c>
      <c r="O204" s="59">
        <f>IFERROR(VLOOKUP($A204,[5]실험의뢰_장진영!$A:$M,6,0),"")</f>
        <v>0</v>
      </c>
      <c r="P204" s="58" t="str">
        <f>IFERROR(VLOOKUP($A204,[5]실험의뢰_장진영!$A:$M,10,0),"")</f>
        <v>"PP (대한유화 4017) (30%)
PP (다원소재 DW-2360) (70%)"</v>
      </c>
      <c r="Q204" s="58">
        <f>IFERROR(VLOOKUP($A204,[5]실험의뢰_장진영!$A:$M,11,0),"")</f>
        <v>0</v>
      </c>
      <c r="R204" s="58">
        <f>IFERROR(VLOOKUP($A204,[5]실험의뢰_장진영!$A:$M,12,0),"")</f>
        <v>0</v>
      </c>
      <c r="S204" s="58">
        <f>IFERROR(VLOOKUP($A204,[5]실험의뢰_장진영!$A:$M,13,0),"")</f>
        <v>0</v>
      </c>
      <c r="T204" s="58"/>
    </row>
    <row r="205" spans="1:20" ht="30" customHeight="1">
      <c r="A205" s="58" t="s">
        <v>496</v>
      </c>
      <c r="B205" s="58" t="str">
        <f>IFERROR(VLOOKUP($A205,[5]실험의뢰_장진영!$A:$M,3,0),"")</f>
        <v>설화수 진설명작크림 (견) 5ML (AD 단용기</v>
      </c>
      <c r="C205" s="58" t="str">
        <f>IFERROR(VLOOKUP($A205,[5]실험의뢰_장진영!$A:$M,9,0),"")</f>
        <v>M251181_01</v>
      </c>
      <c r="D205" s="69" t="str">
        <f>IFERROR(VLOOKUP($A205,[5]실험의뢰_장진영!$A:$M,7,0),"")</f>
        <v>SI1632</v>
      </c>
      <c r="E205" s="1">
        <v>45868</v>
      </c>
      <c r="F205" t="s">
        <v>161</v>
      </c>
      <c r="G205" s="1" t="s">
        <v>157</v>
      </c>
      <c r="H205" t="s">
        <v>480</v>
      </c>
      <c r="I205" s="3">
        <v>5</v>
      </c>
      <c r="J205" s="46">
        <v>26</v>
      </c>
      <c r="L205" s="46" t="str">
        <f>실험지시[[#This Row],[금형코드]]</f>
        <v>M251181_01</v>
      </c>
      <c r="M205" s="60">
        <f>IFERROR(VLOOKUP($A205,[5]실험의뢰_장진영!$A:$M,5,0),"")</f>
        <v>50</v>
      </c>
      <c r="N205" s="58" t="str">
        <f>IFERROR(VLOOKUP($A205,[5]실험의뢰_장진영!$A:$M,4,0),"")</f>
        <v>T1 시사출</v>
      </c>
      <c r="O205" s="59">
        <f>IFERROR(VLOOKUP($A205,[5]실험의뢰_장진영!$A:$M,6,0),"")</f>
        <v>0</v>
      </c>
      <c r="P205" s="58" t="str">
        <f>IFERROR(VLOOKUP($A205,[5]실험의뢰_장진영!$A:$M,10,0),"")</f>
        <v>PP (롯데케미칼 J-560S)</v>
      </c>
      <c r="Q205" s="58">
        <f>IFERROR(VLOOKUP($A205,[5]실험의뢰_장진영!$A:$M,11,0),"")</f>
        <v>0</v>
      </c>
      <c r="R205" s="58">
        <f>IFERROR(VLOOKUP($A205,[5]실험의뢰_장진영!$A:$M,12,0),"")</f>
        <v>0</v>
      </c>
      <c r="S205" s="58">
        <f>IFERROR(VLOOKUP($A205,[5]실험의뢰_장진영!$A:$M,13,0),"")</f>
        <v>0</v>
      </c>
      <c r="T205" s="58"/>
    </row>
    <row r="206" spans="1:20" ht="30" customHeight="1">
      <c r="A206" s="58" t="s">
        <v>497</v>
      </c>
      <c r="B206" s="58" t="str">
        <f>IFERROR(VLOOKUP($A206,[5]실험의뢰_장진영!$A:$M,3,0),"")</f>
        <v>설화수 진설명작크림 (견) 10ML (AD 단용기</v>
      </c>
      <c r="C206" s="58" t="str">
        <f>IFERROR(VLOOKUP($A206,[5]실험의뢰_장진영!$A:$M,9,0),"")</f>
        <v>M251177_01</v>
      </c>
      <c r="D206" s="69" t="str">
        <f>IFERROR(VLOOKUP($A206,[5]실험의뢰_장진영!$A:$M,7,0),"")</f>
        <v>SI1628</v>
      </c>
      <c r="E206" s="1">
        <v>45868</v>
      </c>
      <c r="F206" t="s">
        <v>161</v>
      </c>
      <c r="G206" s="1" t="s">
        <v>157</v>
      </c>
      <c r="H206" t="s">
        <v>480</v>
      </c>
      <c r="I206" s="3">
        <v>5</v>
      </c>
      <c r="J206" s="46">
        <v>26</v>
      </c>
      <c r="L206" s="46" t="str">
        <f>실험지시[[#This Row],[금형코드]]</f>
        <v>M251177_01</v>
      </c>
      <c r="M206" s="60">
        <f>IFERROR(VLOOKUP($A206,[5]실험의뢰_장진영!$A:$M,5,0),"")</f>
        <v>50</v>
      </c>
      <c r="N206" s="58" t="str">
        <f>IFERROR(VLOOKUP($A206,[5]실험의뢰_장진영!$A:$M,4,0),"")</f>
        <v>T1 시사출</v>
      </c>
      <c r="O206" s="59">
        <f>IFERROR(VLOOKUP($A206,[5]실험의뢰_장진영!$A:$M,6,0),"")</f>
        <v>0</v>
      </c>
      <c r="P206" s="58" t="str">
        <f>IFERROR(VLOOKUP($A206,[5]실험의뢰_장진영!$A:$M,10,0),"")</f>
        <v>PP (롯데케미칼 J-560S)</v>
      </c>
      <c r="Q206" s="58">
        <f>IFERROR(VLOOKUP($A206,[5]실험의뢰_장진영!$A:$M,11,0),"")</f>
        <v>0</v>
      </c>
      <c r="R206" s="58">
        <f>IFERROR(VLOOKUP($A206,[5]실험의뢰_장진영!$A:$M,12,0),"")</f>
        <v>0</v>
      </c>
      <c r="S206" s="58">
        <f>IFERROR(VLOOKUP($A206,[5]실험의뢰_장진영!$A:$M,13,0),"")</f>
        <v>0</v>
      </c>
      <c r="T206" s="58"/>
    </row>
    <row r="207" spans="1:20" ht="30" customHeight="1">
      <c r="A207" s="58" t="s">
        <v>498</v>
      </c>
      <c r="B207" s="58" t="str">
        <f>IFERROR(VLOOKUP($A207,[5]실험의뢰_장진영!$A:$M,3,0),"")</f>
        <v>홀리추얼 울트라 너리싱 어드밴스드 토너 150ML 내캡</v>
      </c>
      <c r="C207" s="58" t="str">
        <f>IFERROR(VLOOKUP($A207,[5]실험의뢰_장진영!$A:$M,9,0),"")</f>
        <v>M251166_01</v>
      </c>
      <c r="D207" s="69" t="str">
        <f>IFERROR(VLOOKUP($A207,[5]실험의뢰_장진영!$A:$M,7,0),"")</f>
        <v>SI1611</v>
      </c>
      <c r="E207" s="1">
        <v>45876</v>
      </c>
      <c r="F207" t="s">
        <v>74</v>
      </c>
      <c r="G207" s="1" t="s">
        <v>464</v>
      </c>
      <c r="H207" t="s">
        <v>458</v>
      </c>
      <c r="I207" s="3">
        <v>6</v>
      </c>
      <c r="J207" s="46">
        <v>16</v>
      </c>
      <c r="L207" s="46" t="str">
        <f>실험지시[[#This Row],[금형코드]]</f>
        <v>M251166_01</v>
      </c>
      <c r="M207" s="60">
        <f>IFERROR(VLOOKUP($A207,[5]실험의뢰_장진영!$A:$M,5,0),"")</f>
        <v>0</v>
      </c>
      <c r="N207" s="58" t="str">
        <f>IFERROR(VLOOKUP($A207,[5]실험의뢰_장진영!$A:$M,4,0),"")</f>
        <v>내고 규격 수정</v>
      </c>
      <c r="O207" s="59">
        <f>IFERROR(VLOOKUP($A207,[5]실험의뢰_장진영!$A:$M,6,0),"")</f>
        <v>0</v>
      </c>
      <c r="P207" s="58" t="str">
        <f>IFERROR(VLOOKUP($A207,[5]실험의뢰_장진영!$A:$M,10,0),"")</f>
        <v>PP (롯데케미칼 J-560S)</v>
      </c>
      <c r="Q207" s="58">
        <f>IFERROR(VLOOKUP($A207,[5]실험의뢰_장진영!$A:$M,11,0),"")</f>
        <v>0</v>
      </c>
      <c r="R207" s="58">
        <f>IFERROR(VLOOKUP($A207,[5]실험의뢰_장진영!$A:$M,12,0),"")</f>
        <v>0</v>
      </c>
      <c r="S207" s="58">
        <f>IFERROR(VLOOKUP($A207,[5]실험의뢰_장진영!$A:$M,13,0),"")</f>
        <v>0</v>
      </c>
      <c r="T207" s="58"/>
    </row>
    <row r="208" spans="1:20" ht="30" customHeight="1">
      <c r="A208" s="58" t="s">
        <v>502</v>
      </c>
      <c r="B208" s="58" t="str">
        <f>IFERROR(VLOOKUP($A208,[5]실험의뢰_장진영!$A:$M,3,0),"")</f>
        <v>설화수 진설명작크림 (견) 5ML (AD 외캡</v>
      </c>
      <c r="C208" s="58" t="str">
        <f>IFERROR(VLOOKUP($A208,[5]실험의뢰_장진영!$A:$M,9,0),"")</f>
        <v>M251180_01</v>
      </c>
      <c r="D208" s="69" t="str">
        <f>IFERROR(VLOOKUP($A208,[5]실험의뢰_장진영!$A:$M,7,0),"")</f>
        <v>SI1630</v>
      </c>
      <c r="E208" s="1">
        <v>45894</v>
      </c>
      <c r="F208" t="s">
        <v>74</v>
      </c>
      <c r="G208" s="1" t="s">
        <v>499</v>
      </c>
      <c r="H208" t="s">
        <v>500</v>
      </c>
      <c r="I208" s="3">
        <v>5</v>
      </c>
      <c r="J208" s="46">
        <v>17</v>
      </c>
      <c r="L208" s="46" t="str">
        <f>실험지시[[#This Row],[금형코드]]</f>
        <v>M251180_01</v>
      </c>
      <c r="M208" s="60">
        <f>IFERROR(VLOOKUP($A208,[5]실험의뢰_장진영!$A:$M,5,0),"")</f>
        <v>200</v>
      </c>
      <c r="N208" s="58" t="str">
        <f>IFERROR(VLOOKUP($A208,[5]실험의뢰_장진영!$A:$M,4,0),"")</f>
        <v>T2 시사출 후가공, 조립을 위해 수량 200개로 요청합니다.</v>
      </c>
      <c r="O208" s="59">
        <f>IFERROR(VLOOKUP($A208,[5]실험의뢰_장진영!$A:$M,6,0),"")</f>
        <v>0</v>
      </c>
      <c r="P208" s="58" t="str">
        <f>IFERROR(VLOOKUP($A208,[5]실험의뢰_장진영!$A:$M,10,0),"")</f>
        <v>ABS (롯데첨단소재 MP-0670)</v>
      </c>
      <c r="Q208" s="58">
        <f>IFERROR(VLOOKUP($A208,[5]실험의뢰_장진영!$A:$M,11,0),"")</f>
        <v>0</v>
      </c>
      <c r="R208" s="58">
        <f>IFERROR(VLOOKUP($A208,[5]실험의뢰_장진영!$A:$M,12,0),"")</f>
        <v>0</v>
      </c>
      <c r="S208" s="58">
        <f>IFERROR(VLOOKUP($A208,[5]실험의뢰_장진영!$A:$M,13,0),"")</f>
        <v>0</v>
      </c>
      <c r="T208" s="58"/>
    </row>
    <row r="209" spans="1:20" ht="30" customHeight="1">
      <c r="A209" s="58" t="s">
        <v>503</v>
      </c>
      <c r="B209" s="58" t="str">
        <f>IFERROR(VLOOKUP($A209,[5]실험의뢰_장진영!$A:$M,3,0),"")</f>
        <v>설화수 진설명작크림 (견) 5ML (AD 내캡</v>
      </c>
      <c r="C209" s="58" t="str">
        <f>IFERROR(VLOOKUP($A209,[5]실험의뢰_장진영!$A:$M,9,0),"")</f>
        <v>M251179_01</v>
      </c>
      <c r="D209" s="69" t="str">
        <f>IFERROR(VLOOKUP($A209,[5]실험의뢰_장진영!$A:$M,7,0),"")</f>
        <v>SI1631</v>
      </c>
      <c r="E209" s="1">
        <v>45895</v>
      </c>
      <c r="F209" t="s">
        <v>114</v>
      </c>
      <c r="G209" s="1" t="s">
        <v>341</v>
      </c>
      <c r="H209" t="s">
        <v>501</v>
      </c>
      <c r="I209" s="3">
        <v>5</v>
      </c>
      <c r="J209" s="46">
        <v>21</v>
      </c>
      <c r="K209" s="74">
        <v>250708</v>
      </c>
      <c r="L209" s="46" t="str">
        <f>실험지시[[#This Row],[금형코드]]</f>
        <v>M251179_01</v>
      </c>
      <c r="M209" s="60">
        <f>IFERROR(VLOOKUP($A209,[5]실험의뢰_장진영!$A:$M,5,0),"")</f>
        <v>200</v>
      </c>
      <c r="N209" s="58" t="str">
        <f>IFERROR(VLOOKUP($A209,[5]실험의뢰_장진영!$A:$M,4,0),"")</f>
        <v xml:space="preserve">T2 시사출 </v>
      </c>
      <c r="O209" s="59">
        <f>IFERROR(VLOOKUP($A209,[5]실험의뢰_장진영!$A:$M,6,0),"")</f>
        <v>0</v>
      </c>
      <c r="P209" s="58" t="str">
        <f>IFERROR(VLOOKUP($A209,[5]실험의뢰_장진영!$A:$M,10,0),"")</f>
        <v>PP (대한유화 4017) (30%)
PP (다원소재 DW-2360) (70%)</v>
      </c>
      <c r="Q209" s="58">
        <f>IFERROR(VLOOKUP($A209,[5]실험의뢰_장진영!$A:$M,11,0),"")</f>
        <v>0</v>
      </c>
      <c r="R209" s="58">
        <f>IFERROR(VLOOKUP($A209,[5]실험의뢰_장진영!$A:$M,12,0),"")</f>
        <v>0</v>
      </c>
      <c r="S209" s="58">
        <f>IFERROR(VLOOKUP($A209,[5]실험의뢰_장진영!$A:$M,13,0),"")</f>
        <v>0</v>
      </c>
      <c r="T209" s="58"/>
    </row>
    <row r="210" spans="1:20" ht="30" customHeight="1">
      <c r="A210" s="58" t="s">
        <v>504</v>
      </c>
      <c r="B210" s="58" t="str">
        <f>IFERROR(VLOOKUP($A210,[5]실험의뢰_장진영!$A:$M,3,0),"")</f>
        <v>설화수 진설명작크림 (견) 5ML (AD 단용기</v>
      </c>
      <c r="C210" s="58" t="str">
        <f>IFERROR(VLOOKUP($A210,[5]실험의뢰_장진영!$A:$M,9,0),"")</f>
        <v>M251181_01</v>
      </c>
      <c r="D210" s="69" t="str">
        <f>IFERROR(VLOOKUP($A210,[5]실험의뢰_장진영!$A:$M,7,0),"")</f>
        <v>SI1632</v>
      </c>
      <c r="E210" s="1">
        <v>45896</v>
      </c>
      <c r="F210" t="s">
        <v>114</v>
      </c>
      <c r="G210" s="1" t="s">
        <v>157</v>
      </c>
      <c r="H210" t="s">
        <v>480</v>
      </c>
      <c r="I210" s="3">
        <v>5</v>
      </c>
      <c r="J210" s="46">
        <v>21</v>
      </c>
      <c r="K210" s="74">
        <v>250708</v>
      </c>
      <c r="L210" s="46" t="str">
        <f>실험지시[[#This Row],[금형코드]]</f>
        <v>M251181_01</v>
      </c>
      <c r="M210" s="60">
        <f>IFERROR(VLOOKUP($A210,[5]실험의뢰_장진영!$A:$M,5,0),"")</f>
        <v>200</v>
      </c>
      <c r="N210" s="58" t="str">
        <f>IFERROR(VLOOKUP($A210,[5]실험의뢰_장진영!$A:$M,4,0),"")</f>
        <v xml:space="preserve">T2 시사출 </v>
      </c>
      <c r="O210" s="59">
        <f>IFERROR(VLOOKUP($A210,[5]실험의뢰_장진영!$A:$M,6,0),"")</f>
        <v>0</v>
      </c>
      <c r="P210" s="58" t="str">
        <f>IFERROR(VLOOKUP($A210,[5]실험의뢰_장진영!$A:$M,10,0),"")</f>
        <v>PP (롯데케미칼 J-560S)</v>
      </c>
      <c r="Q210" s="58">
        <f>IFERROR(VLOOKUP($A210,[5]실험의뢰_장진영!$A:$M,11,0),"")</f>
        <v>0</v>
      </c>
      <c r="R210" s="58">
        <f>IFERROR(VLOOKUP($A210,[5]실험의뢰_장진영!$A:$M,12,0),"")</f>
        <v>0</v>
      </c>
      <c r="S210" s="58">
        <f>IFERROR(VLOOKUP($A210,[5]실험의뢰_장진영!$A:$M,13,0),"")</f>
        <v>0</v>
      </c>
      <c r="T210" s="58"/>
    </row>
    <row r="211" spans="1:20" ht="30" customHeight="1">
      <c r="A211" s="58" t="s">
        <v>505</v>
      </c>
      <c r="B211" s="58" t="str">
        <f>IFERROR(VLOOKUP($A211,[5]실험의뢰_장진영!$A:$M,3,0),"")</f>
        <v>설화수 진설명작크림 (견) 5ML (AD 용기받침</v>
      </c>
      <c r="C211" s="58" t="str">
        <f>IFERROR(VLOOKUP($A211,[5]실험의뢰_장진영!$A:$M,9,0),"")</f>
        <v>M251182_01</v>
      </c>
      <c r="D211" s="69" t="str">
        <f>IFERROR(VLOOKUP($A211,[5]실험의뢰_장진영!$A:$M,7,0),"")</f>
        <v>SI1633</v>
      </c>
      <c r="E211" s="1">
        <v>45895</v>
      </c>
      <c r="F211" t="s">
        <v>74</v>
      </c>
      <c r="G211" s="1" t="s">
        <v>499</v>
      </c>
      <c r="H211" t="s">
        <v>500</v>
      </c>
      <c r="I211" s="3">
        <v>5</v>
      </c>
      <c r="J211" s="46">
        <v>17</v>
      </c>
      <c r="L211" s="46" t="str">
        <f>실험지시[[#This Row],[금형코드]]</f>
        <v>M251182_01</v>
      </c>
      <c r="M211" s="60">
        <f>IFERROR(VLOOKUP($A211,[5]실험의뢰_장진영!$A:$M,5,0),"")</f>
        <v>200</v>
      </c>
      <c r="N211" s="58" t="str">
        <f>IFERROR(VLOOKUP($A211,[5]실험의뢰_장진영!$A:$M,4,0),"")</f>
        <v xml:space="preserve">T2 시사출 </v>
      </c>
      <c r="O211" s="59">
        <f>IFERROR(VLOOKUP($A211,[5]실험의뢰_장진영!$A:$M,6,0),"")</f>
        <v>0</v>
      </c>
      <c r="P211" s="58" t="str">
        <f>IFERROR(VLOOKUP($A211,[5]실험의뢰_장진영!$A:$M,10,0),"")</f>
        <v>ABS (롯데첨단소재 MP-0670)</v>
      </c>
      <c r="Q211" s="58">
        <f>IFERROR(VLOOKUP($A211,[5]실험의뢰_장진영!$A:$M,11,0),"")</f>
        <v>0</v>
      </c>
      <c r="R211" s="58">
        <f>IFERROR(VLOOKUP($A211,[5]실험의뢰_장진영!$A:$M,12,0),"")</f>
        <v>0</v>
      </c>
      <c r="S211" s="58">
        <f>IFERROR(VLOOKUP($A211,[5]실험의뢰_장진영!$A:$M,13,0),"")</f>
        <v>0</v>
      </c>
      <c r="T211" s="58"/>
    </row>
    <row r="212" spans="1:20" ht="30" customHeight="1">
      <c r="A212" s="58" t="s">
        <v>506</v>
      </c>
      <c r="B212" s="58" t="str">
        <f>IFERROR(VLOOKUP($A212,[5]실험의뢰_장진영!$A:$M,3,0),"")</f>
        <v>설화수 진설명작크림 (견) 10ML (AD 사출덮개</v>
      </c>
      <c r="C212" s="58" t="str">
        <f>IFERROR(VLOOKUP($A212,[5]실험의뢰_장진영!$A:$M,9,0),"")</f>
        <v>M251178_01</v>
      </c>
      <c r="D212" s="69" t="str">
        <f>IFERROR(VLOOKUP($A212,[5]실험의뢰_장진영!$A:$M,7,0),"")</f>
        <v>SI1629</v>
      </c>
      <c r="E212" s="1">
        <v>45891</v>
      </c>
      <c r="F212" t="s">
        <v>161</v>
      </c>
      <c r="G212" s="100" t="s">
        <v>484</v>
      </c>
      <c r="H212" t="s">
        <v>485</v>
      </c>
      <c r="I212" s="3">
        <v>5</v>
      </c>
      <c r="J212" s="46">
        <v>20</v>
      </c>
      <c r="L212" s="46" t="str">
        <f>실험지시[[#This Row],[금형코드]]</f>
        <v>M251178_01</v>
      </c>
      <c r="M212" s="60">
        <f>IFERROR(VLOOKUP($A212,[5]실험의뢰_장진영!$A:$M,5,0),"")</f>
        <v>200</v>
      </c>
      <c r="N212" s="58" t="str">
        <f>IFERROR(VLOOKUP($A212,[5]실험의뢰_장진영!$A:$M,4,0),"")</f>
        <v xml:space="preserve">T2 시사출 </v>
      </c>
      <c r="O212" s="59">
        <f>IFERROR(VLOOKUP($A212,[5]실험의뢰_장진영!$A:$M,6,0),"")</f>
        <v>0</v>
      </c>
      <c r="P212" s="58" t="str">
        <f>IFERROR(VLOOKUP($A212,[5]실험의뢰_장진영!$A:$M,10,0),"")</f>
        <v>Hytrel (Dupont H7246)</v>
      </c>
      <c r="Q212" s="58">
        <f>IFERROR(VLOOKUP($A212,[5]실험의뢰_장진영!$A:$M,11,0),"")</f>
        <v>0</v>
      </c>
      <c r="R212" s="58">
        <f>IFERROR(VLOOKUP($A212,[5]실험의뢰_장진영!$A:$M,12,0),"")</f>
        <v>0</v>
      </c>
      <c r="S212" s="58">
        <f>IFERROR(VLOOKUP($A212,[5]실험의뢰_장진영!$A:$M,13,0),"")</f>
        <v>0</v>
      </c>
      <c r="T212" s="58"/>
    </row>
    <row r="213" spans="1:20" ht="30" customHeight="1">
      <c r="A213" s="58" t="s">
        <v>507</v>
      </c>
      <c r="B213" s="58" t="str">
        <f>IFERROR(VLOOKUP($A213,[5]실험의뢰_장진영!$A:$M,3,0),"")</f>
        <v>설화수 진설명작크림 (견) 10ML (AD 외캡</v>
      </c>
      <c r="C213" s="58" t="str">
        <f>IFERROR(VLOOKUP($A213,[5]실험의뢰_장진영!$A:$M,9,0),"")</f>
        <v>M251175_01</v>
      </c>
      <c r="D213" s="69" t="str">
        <f>IFERROR(VLOOKUP($A213,[5]실험의뢰_장진영!$A:$M,7,0),"")</f>
        <v>SI1625</v>
      </c>
      <c r="E213" s="1">
        <v>45894</v>
      </c>
      <c r="F213" t="s">
        <v>74</v>
      </c>
      <c r="G213" s="1" t="s">
        <v>499</v>
      </c>
      <c r="H213" t="s">
        <v>500</v>
      </c>
      <c r="I213" s="3">
        <v>5</v>
      </c>
      <c r="J213" s="46">
        <v>17</v>
      </c>
      <c r="L213" s="46" t="str">
        <f>실험지시[[#This Row],[금형코드]]</f>
        <v>M251175_01</v>
      </c>
      <c r="M213" s="60">
        <f>IFERROR(VLOOKUP($A213,[5]실험의뢰_장진영!$A:$M,5,0),"")</f>
        <v>200</v>
      </c>
      <c r="N213" s="58" t="str">
        <f>IFERROR(VLOOKUP($A213,[5]실험의뢰_장진영!$A:$M,4,0),"")</f>
        <v xml:space="preserve">T2 시사출 </v>
      </c>
      <c r="O213" s="59">
        <f>IFERROR(VLOOKUP($A213,[5]실험의뢰_장진영!$A:$M,6,0),"")</f>
        <v>0</v>
      </c>
      <c r="P213" s="58" t="str">
        <f>IFERROR(VLOOKUP($A213,[5]실험의뢰_장진영!$A:$M,10,0),"")</f>
        <v>ABS (롯데첨단소재 MP-0670)</v>
      </c>
      <c r="Q213" s="58">
        <f>IFERROR(VLOOKUP($A213,[5]실험의뢰_장진영!$A:$M,11,0),"")</f>
        <v>0</v>
      </c>
      <c r="R213" s="58">
        <f>IFERROR(VLOOKUP($A213,[5]실험의뢰_장진영!$A:$M,12,0),"")</f>
        <v>0</v>
      </c>
      <c r="S213" s="58">
        <f>IFERROR(VLOOKUP($A213,[5]실험의뢰_장진영!$A:$M,13,0),"")</f>
        <v>0</v>
      </c>
      <c r="T213" s="58"/>
    </row>
    <row r="214" spans="1:20" ht="30" customHeight="1">
      <c r="A214" s="58" t="s">
        <v>508</v>
      </c>
      <c r="B214" s="58" t="str">
        <f>IFERROR(VLOOKUP($A214,[5]실험의뢰_장진영!$A:$M,3,0),"")</f>
        <v>설화수 진설명작크림 (견) 10ML (AD 내캡</v>
      </c>
      <c r="C214" s="58" t="str">
        <f>IFERROR(VLOOKUP($A214,[5]실험의뢰_장진영!$A:$M,9,0),"")</f>
        <v>M251174_01</v>
      </c>
      <c r="D214" s="69" t="str">
        <f>IFERROR(VLOOKUP($A214,[5]실험의뢰_장진영!$A:$M,7,0),"")</f>
        <v>SI1626</v>
      </c>
      <c r="E214" s="1">
        <v>45895</v>
      </c>
      <c r="F214" t="s">
        <v>114</v>
      </c>
      <c r="G214" s="1" t="s">
        <v>341</v>
      </c>
      <c r="H214" t="s">
        <v>501</v>
      </c>
      <c r="I214" s="3">
        <v>5</v>
      </c>
      <c r="J214" s="46">
        <v>21</v>
      </c>
      <c r="K214" s="74">
        <v>250708</v>
      </c>
      <c r="L214" s="46" t="str">
        <f>실험지시[[#This Row],[금형코드]]</f>
        <v>M251174_01</v>
      </c>
      <c r="M214" s="60">
        <f>IFERROR(VLOOKUP($A214,[5]실험의뢰_장진영!$A:$M,5,0),"")</f>
        <v>200</v>
      </c>
      <c r="N214" s="58" t="str">
        <f>IFERROR(VLOOKUP($A214,[5]실험의뢰_장진영!$A:$M,4,0),"")</f>
        <v xml:space="preserve">T2 시사출 </v>
      </c>
      <c r="O214" s="59">
        <f>IFERROR(VLOOKUP($A214,[5]실험의뢰_장진영!$A:$M,6,0),"")</f>
        <v>0</v>
      </c>
      <c r="P214" s="58" t="str">
        <f>IFERROR(VLOOKUP($A214,[5]실험의뢰_장진영!$A:$M,10,0),"")</f>
        <v>"PP (대한유화 4017) (30%)
PP (다원소재 DW-2360) (70%)"</v>
      </c>
      <c r="Q214" s="58">
        <f>IFERROR(VLOOKUP($A214,[5]실험의뢰_장진영!$A:$M,11,0),"")</f>
        <v>0</v>
      </c>
      <c r="R214" s="58">
        <f>IFERROR(VLOOKUP($A214,[5]실험의뢰_장진영!$A:$M,12,0),"")</f>
        <v>0</v>
      </c>
      <c r="S214" s="58">
        <f>IFERROR(VLOOKUP($A214,[5]실험의뢰_장진영!$A:$M,13,0),"")</f>
        <v>0</v>
      </c>
      <c r="T214" s="58"/>
    </row>
    <row r="215" spans="1:20" ht="30" customHeight="1">
      <c r="A215" s="58" t="s">
        <v>509</v>
      </c>
      <c r="B215" s="58" t="str">
        <f>IFERROR(VLOOKUP($A215,[5]실험의뢰_장진영!$A:$M,3,0),"")</f>
        <v>설화수 진설명작크림 (견) 10ML (AD 단용기</v>
      </c>
      <c r="C215" s="58" t="str">
        <f>IFERROR(VLOOKUP($A215,[5]실험의뢰_장진영!$A:$M,9,0),"")</f>
        <v>M251177_01</v>
      </c>
      <c r="D215" s="69" t="str">
        <f>IFERROR(VLOOKUP($A215,[5]실험의뢰_장진영!$A:$M,7,0),"")</f>
        <v>SI1628</v>
      </c>
      <c r="E215" s="1">
        <v>45896</v>
      </c>
      <c r="F215" t="s">
        <v>114</v>
      </c>
      <c r="G215" s="1" t="s">
        <v>157</v>
      </c>
      <c r="H215" t="s">
        <v>480</v>
      </c>
      <c r="I215" s="3">
        <v>5</v>
      </c>
      <c r="J215" s="46">
        <v>21</v>
      </c>
      <c r="K215" s="74">
        <v>250708</v>
      </c>
      <c r="L215" s="46" t="str">
        <f>실험지시[[#This Row],[금형코드]]</f>
        <v>M251177_01</v>
      </c>
      <c r="M215" s="60">
        <f>IFERROR(VLOOKUP($A215,[5]실험의뢰_장진영!$A:$M,5,0),"")</f>
        <v>200</v>
      </c>
      <c r="N215" s="58" t="str">
        <f>IFERROR(VLOOKUP($A215,[5]실험의뢰_장진영!$A:$M,4,0),"")</f>
        <v xml:space="preserve">T2 시사출 </v>
      </c>
      <c r="O215" s="59">
        <f>IFERROR(VLOOKUP($A215,[5]실험의뢰_장진영!$A:$M,6,0),"")</f>
        <v>0</v>
      </c>
      <c r="P215" s="58" t="str">
        <f>IFERROR(VLOOKUP($A215,[5]실험의뢰_장진영!$A:$M,10,0),"")</f>
        <v>PP (롯데케미칼 J-560S)</v>
      </c>
      <c r="Q215" s="58">
        <f>IFERROR(VLOOKUP($A215,[5]실험의뢰_장진영!$A:$M,11,0),"")</f>
        <v>0</v>
      </c>
      <c r="R215" s="58">
        <f>IFERROR(VLOOKUP($A215,[5]실험의뢰_장진영!$A:$M,12,0),"")</f>
        <v>0</v>
      </c>
      <c r="S215" s="58">
        <f>IFERROR(VLOOKUP($A215,[5]실험의뢰_장진영!$A:$M,13,0),"")</f>
        <v>0</v>
      </c>
      <c r="T215" s="58"/>
    </row>
    <row r="216" spans="1:20" ht="30" customHeight="1">
      <c r="A216" s="58" t="s">
        <v>510</v>
      </c>
      <c r="B216" s="58" t="str">
        <f>IFERROR(VLOOKUP($A216,[5]실험의뢰_장진영!$A:$M,3,0),"")</f>
        <v>설화수 진설명작크림 (견) 10ML (AD 용기받침</v>
      </c>
      <c r="C216" s="58" t="str">
        <f>IFERROR(VLOOKUP($A216,[5]실험의뢰_장진영!$A:$M,9,0),"")</f>
        <v>M251176_01</v>
      </c>
      <c r="D216" s="69" t="str">
        <f>IFERROR(VLOOKUP($A216,[5]실험의뢰_장진영!$A:$M,7,0),"")</f>
        <v>SI1627</v>
      </c>
      <c r="E216" s="1">
        <v>45895</v>
      </c>
      <c r="F216" t="s">
        <v>74</v>
      </c>
      <c r="G216" s="1" t="s">
        <v>499</v>
      </c>
      <c r="H216" t="s">
        <v>500</v>
      </c>
      <c r="I216" s="3">
        <v>5</v>
      </c>
      <c r="J216" s="46">
        <v>17</v>
      </c>
      <c r="L216" s="46" t="str">
        <f>실험지시[[#This Row],[금형코드]]</f>
        <v>M251176_01</v>
      </c>
      <c r="M216" s="60">
        <f>IFERROR(VLOOKUP($A216,[5]실험의뢰_장진영!$A:$M,5,0),"")</f>
        <v>200</v>
      </c>
      <c r="N216" s="58" t="str">
        <f>IFERROR(VLOOKUP($A216,[5]실험의뢰_장진영!$A:$M,4,0),"")</f>
        <v xml:space="preserve">T2 시사출 </v>
      </c>
      <c r="O216" s="59">
        <f>IFERROR(VLOOKUP($A216,[5]실험의뢰_장진영!$A:$M,6,0),"")</f>
        <v>0</v>
      </c>
      <c r="P216" s="58" t="str">
        <f>IFERROR(VLOOKUP($A216,[5]실험의뢰_장진영!$A:$M,10,0),"")</f>
        <v>ABS (롯데첨단소재 MP-0670)</v>
      </c>
      <c r="Q216" s="58">
        <f>IFERROR(VLOOKUP($A216,[5]실험의뢰_장진영!$A:$M,11,0),"")</f>
        <v>0</v>
      </c>
      <c r="R216" s="58">
        <f>IFERROR(VLOOKUP($A216,[5]실험의뢰_장진영!$A:$M,12,0),"")</f>
        <v>0</v>
      </c>
      <c r="S216" s="58">
        <f>IFERROR(VLOOKUP($A216,[5]실험의뢰_장진영!$A:$M,13,0),"")</f>
        <v>0</v>
      </c>
      <c r="T216" s="58"/>
    </row>
    <row r="217" spans="1:20" ht="30" customHeight="1">
      <c r="A217" s="58" t="s">
        <v>511</v>
      </c>
      <c r="B217" s="58" t="str">
        <f>IFERROR(VLOOKUP($A217,[5]실험의뢰_장진영!$A:$M,3,0),"")</f>
        <v>설화수 진설명작크림 60ML (26AD 내캡</v>
      </c>
      <c r="C217" s="58" t="str">
        <f>IFERROR(VLOOKUP($A217,[5]실험의뢰_장진영!$A:$M,9,0),"")</f>
        <v>M251184_01</v>
      </c>
      <c r="D217" s="69" t="str">
        <f>IFERROR(VLOOKUP($A217,[5]실험의뢰_장진영!$A:$M,7,0),"")</f>
        <v>SI1614</v>
      </c>
      <c r="E217" s="1">
        <v>45889</v>
      </c>
      <c r="F217" t="s">
        <v>161</v>
      </c>
      <c r="G217" s="1" t="s">
        <v>341</v>
      </c>
      <c r="H217" t="s">
        <v>471</v>
      </c>
      <c r="I217" s="3">
        <v>5</v>
      </c>
      <c r="J217" s="46">
        <v>8</v>
      </c>
      <c r="K217" s="74">
        <v>250725</v>
      </c>
      <c r="L217" s="46" t="str">
        <f>실험지시[[#This Row],[금형코드]]</f>
        <v>M251184_01</v>
      </c>
      <c r="M217" s="60">
        <f>IFERROR(VLOOKUP($A217,[5]실험의뢰_장진영!$A:$M,5,0),"")</f>
        <v>200</v>
      </c>
      <c r="N217" s="58" t="str">
        <f>IFERROR(VLOOKUP($A217,[5]실험의뢰_장진영!$A:$M,4,0),"")</f>
        <v xml:space="preserve">T2 시사출 </v>
      </c>
      <c r="O217" s="59">
        <f>IFERROR(VLOOKUP($A217,[5]실험의뢰_장진영!$A:$M,6,0),"")</f>
        <v>0</v>
      </c>
      <c r="P217" s="58" t="str">
        <f>IFERROR(VLOOKUP($A217,[5]실험의뢰_장진영!$A:$M,10,0),"")</f>
        <v>PP (대한유화 4017) (30%)
PP (다원소재 DW-2360) (70%)</v>
      </c>
      <c r="Q217" s="58">
        <f>IFERROR(VLOOKUP($A217,[5]실험의뢰_장진영!$A:$M,11,0),"")</f>
        <v>0</v>
      </c>
      <c r="R217" s="58">
        <f>IFERROR(VLOOKUP($A217,[5]실험의뢰_장진영!$A:$M,12,0),"")</f>
        <v>0</v>
      </c>
      <c r="S217" s="58">
        <f>IFERROR(VLOOKUP($A217,[5]실험의뢰_장진영!$A:$M,13,0),"")</f>
        <v>0</v>
      </c>
      <c r="T217" s="58"/>
    </row>
    <row r="218" spans="1:20" ht="30" customHeight="1">
      <c r="A218" s="58" t="s">
        <v>512</v>
      </c>
      <c r="B218" s="58" t="str">
        <f>IFERROR(VLOOKUP($A218,[5]실험의뢰_장진영!$A:$M,3,0),"")</f>
        <v>설화수 진설명작크림 60ML (26AD 캡장식-하단링</v>
      </c>
      <c r="C218" s="58" t="str">
        <f>IFERROR(VLOOKUP($A218,[5]실험의뢰_장진영!$A:$M,9,0),"")</f>
        <v>M251185_01</v>
      </c>
      <c r="D218" s="69" t="str">
        <f>IFERROR(VLOOKUP($A218,[5]실험의뢰_장진영!$A:$M,7,0),"")</f>
        <v>SI1615</v>
      </c>
      <c r="E218" s="1">
        <v>45882</v>
      </c>
      <c r="F218" t="s">
        <v>161</v>
      </c>
      <c r="G218" s="1" t="s">
        <v>499</v>
      </c>
      <c r="H218" t="s">
        <v>500</v>
      </c>
      <c r="I218" s="3">
        <v>5</v>
      </c>
      <c r="J218" s="46">
        <v>26</v>
      </c>
      <c r="K218" s="74">
        <v>250725</v>
      </c>
      <c r="L218" s="46" t="str">
        <f>실험지시[[#This Row],[금형코드]]</f>
        <v>M251185_01</v>
      </c>
      <c r="M218" s="60">
        <f>IFERROR(VLOOKUP($A218,[5]실험의뢰_장진영!$A:$M,5,0),"")</f>
        <v>200</v>
      </c>
      <c r="N218" s="58" t="str">
        <f>IFERROR(VLOOKUP($A218,[5]실험의뢰_장진영!$A:$M,4,0),"")</f>
        <v xml:space="preserve">T2 시사출 </v>
      </c>
      <c r="O218" s="59">
        <f>IFERROR(VLOOKUP($A218,[5]실험의뢰_장진영!$A:$M,6,0),"")</f>
        <v>0</v>
      </c>
      <c r="P218" s="58" t="str">
        <f>IFERROR(VLOOKUP($A218,[5]실험의뢰_장진영!$A:$M,10,0),"")</f>
        <v>ABS (롯데첨단소재 MP-0670)</v>
      </c>
      <c r="Q218" s="58">
        <f>IFERROR(VLOOKUP($A218,[5]실험의뢰_장진영!$A:$M,11,0),"")</f>
        <v>0</v>
      </c>
      <c r="R218" s="58">
        <f>IFERROR(VLOOKUP($A218,[5]실험의뢰_장진영!$A:$M,12,0),"")</f>
        <v>0</v>
      </c>
      <c r="S218" s="58">
        <f>IFERROR(VLOOKUP($A218,[5]실험의뢰_장진영!$A:$M,13,0),"")</f>
        <v>0</v>
      </c>
      <c r="T218" s="58"/>
    </row>
    <row r="219" spans="1:20" ht="30" customHeight="1">
      <c r="A219" s="58" t="s">
        <v>513</v>
      </c>
      <c r="B219" s="58" t="str">
        <f>IFERROR(VLOOKUP($A219,[5]실험의뢰_장진영!$A:$M,3,0),"")</f>
        <v>설화수 진설명작크림 60ML (26AD 사출덮개</v>
      </c>
      <c r="C219" s="58" t="str">
        <f>IFERROR(VLOOKUP($A219,[5]실험의뢰_장진영!$A:$M,9,0),"")</f>
        <v>M251186_01</v>
      </c>
      <c r="D219" s="69" t="str">
        <f>IFERROR(VLOOKUP($A219,[5]실험의뢰_장진영!$A:$M,7,0),"")</f>
        <v>SI1616</v>
      </c>
      <c r="E219" s="1">
        <v>45891</v>
      </c>
      <c r="F219" t="s">
        <v>161</v>
      </c>
      <c r="G219" s="100" t="s">
        <v>484</v>
      </c>
      <c r="H219" t="s">
        <v>485</v>
      </c>
      <c r="I219" s="3">
        <v>5</v>
      </c>
      <c r="J219" s="46">
        <v>20</v>
      </c>
      <c r="K219" s="74">
        <v>250725</v>
      </c>
      <c r="L219" s="46" t="str">
        <f>실험지시[[#This Row],[금형코드]]</f>
        <v>M251186_01</v>
      </c>
      <c r="M219" s="60">
        <f>IFERROR(VLOOKUP($A219,[5]실험의뢰_장진영!$A:$M,5,0),"")</f>
        <v>200</v>
      </c>
      <c r="N219" s="58" t="str">
        <f>IFERROR(VLOOKUP($A219,[5]실험의뢰_장진영!$A:$M,4,0),"")</f>
        <v xml:space="preserve">T2 시사출 </v>
      </c>
      <c r="O219" s="59">
        <f>IFERROR(VLOOKUP($A219,[5]실험의뢰_장진영!$A:$M,6,0),"")</f>
        <v>0</v>
      </c>
      <c r="P219" s="58" t="str">
        <f>IFERROR(VLOOKUP($A219,[5]실험의뢰_장진영!$A:$M,10,0),"")</f>
        <v>Hytrel (Dupont H7246)</v>
      </c>
      <c r="Q219" s="58">
        <f>IFERROR(VLOOKUP($A219,[5]실험의뢰_장진영!$A:$M,11,0),"")</f>
        <v>0</v>
      </c>
      <c r="R219" s="58">
        <f>IFERROR(VLOOKUP($A219,[5]실험의뢰_장진영!$A:$M,12,0),"")</f>
        <v>0</v>
      </c>
      <c r="S219" s="58">
        <f>IFERROR(VLOOKUP($A219,[5]실험의뢰_장진영!$A:$M,13,0),"")</f>
        <v>0</v>
      </c>
      <c r="T219" s="58"/>
    </row>
    <row r="220" spans="1:20" ht="30" customHeight="1">
      <c r="A220" s="58" t="s">
        <v>514</v>
      </c>
      <c r="B220" s="58" t="str">
        <f>IFERROR(VLOOKUP($A220,[5]실험의뢰_장진영!$A:$M,3,0),"")</f>
        <v>설화수 진설명작크림 60ML (26AD 중용기</v>
      </c>
      <c r="C220" s="58" t="str">
        <f>IFERROR(VLOOKUP($A220,[5]실험의뢰_장진영!$A:$M,9,0),"")</f>
        <v>M251188_01</v>
      </c>
      <c r="D220" s="69" t="str">
        <f>IFERROR(VLOOKUP($A220,[5]실험의뢰_장진영!$A:$M,7,0),"")</f>
        <v>SI1617</v>
      </c>
      <c r="E220" s="1">
        <v>45882</v>
      </c>
      <c r="F220" t="s">
        <v>161</v>
      </c>
      <c r="G220" s="1" t="s">
        <v>499</v>
      </c>
      <c r="H220" t="s">
        <v>500</v>
      </c>
      <c r="I220" s="3">
        <v>5</v>
      </c>
      <c r="J220" s="46">
        <v>26</v>
      </c>
      <c r="K220" s="74">
        <v>250725</v>
      </c>
      <c r="L220" s="46" t="str">
        <f>실험지시[[#This Row],[금형코드]]</f>
        <v>M251188_01</v>
      </c>
      <c r="M220" s="60">
        <f>IFERROR(VLOOKUP($A220,[5]실험의뢰_장진영!$A:$M,5,0),"")</f>
        <v>200</v>
      </c>
      <c r="N220" s="58" t="str">
        <f>IFERROR(VLOOKUP($A220,[5]실험의뢰_장진영!$A:$M,4,0),"")</f>
        <v xml:space="preserve">T2 시사출 </v>
      </c>
      <c r="O220" s="59">
        <f>IFERROR(VLOOKUP($A220,[5]실험의뢰_장진영!$A:$M,6,0),"")</f>
        <v>0</v>
      </c>
      <c r="P220" s="58" t="str">
        <f>IFERROR(VLOOKUP($A220,[5]실험의뢰_장진영!$A:$M,10,0),"")</f>
        <v>ABS (롯데첨단소재 MP-0670)</v>
      </c>
      <c r="Q220" s="58">
        <f>IFERROR(VLOOKUP($A220,[5]실험의뢰_장진영!$A:$M,11,0),"")</f>
        <v>0</v>
      </c>
      <c r="R220" s="58">
        <f>IFERROR(VLOOKUP($A220,[5]실험의뢰_장진영!$A:$M,12,0),"")</f>
        <v>0</v>
      </c>
      <c r="S220" s="58">
        <f>IFERROR(VLOOKUP($A220,[5]실험의뢰_장진영!$A:$M,13,0),"")</f>
        <v>0</v>
      </c>
      <c r="T220" s="58"/>
    </row>
    <row r="221" spans="1:20" ht="30" customHeight="1">
      <c r="A221" s="58" t="s">
        <v>515</v>
      </c>
      <c r="B221" s="58" t="str">
        <f>IFERROR(VLOOKUP($A221,[5]실험의뢰_장진영!$A:$M,3,0),"")</f>
        <v>설화수 진설명작크림 60ML (26AD 내용기</v>
      </c>
      <c r="C221" s="58" t="str">
        <f>IFERROR(VLOOKUP($A221,[5]실험의뢰_장진영!$A:$M,9,0),"")</f>
        <v>M251187_01</v>
      </c>
      <c r="D221" s="69" t="str">
        <f>IFERROR(VLOOKUP($A221,[5]실험의뢰_장진영!$A:$M,7,0),"")</f>
        <v>SI1618</v>
      </c>
      <c r="E221" s="1">
        <v>45889</v>
      </c>
      <c r="F221" t="s">
        <v>161</v>
      </c>
      <c r="G221" s="1" t="s">
        <v>157</v>
      </c>
      <c r="H221" t="s">
        <v>480</v>
      </c>
      <c r="I221" s="3">
        <v>5</v>
      </c>
      <c r="J221" s="46">
        <v>8</v>
      </c>
      <c r="K221" s="74">
        <v>250725</v>
      </c>
      <c r="L221" s="46" t="str">
        <f>실험지시[[#This Row],[금형코드]]</f>
        <v>M251187_01</v>
      </c>
      <c r="M221" s="60">
        <f>IFERROR(VLOOKUP($A221,[5]실험의뢰_장진영!$A:$M,5,0),"")</f>
        <v>200</v>
      </c>
      <c r="N221" s="58" t="str">
        <f>IFERROR(VLOOKUP($A221,[5]실험의뢰_장진영!$A:$M,4,0),"")</f>
        <v xml:space="preserve">T2 시사출 </v>
      </c>
      <c r="O221" s="59">
        <f>IFERROR(VLOOKUP($A221,[5]실험의뢰_장진영!$A:$M,6,0),"")</f>
        <v>0</v>
      </c>
      <c r="P221" s="58" t="str">
        <f>IFERROR(VLOOKUP($A221,[5]실험의뢰_장진영!$A:$M,10,0),"")</f>
        <v>PP (롯데케미칼 J-560S)</v>
      </c>
      <c r="Q221" s="58">
        <f>IFERROR(VLOOKUP($A221,[5]실험의뢰_장진영!$A:$M,11,0),"")</f>
        <v>0</v>
      </c>
      <c r="R221" s="58">
        <f>IFERROR(VLOOKUP($A221,[5]실험의뢰_장진영!$A:$M,12,0),"")</f>
        <v>0</v>
      </c>
      <c r="S221" s="58">
        <f>IFERROR(VLOOKUP($A221,[5]실험의뢰_장진영!$A:$M,13,0),"")</f>
        <v>0</v>
      </c>
      <c r="T221" s="58"/>
    </row>
    <row r="222" spans="1:20" ht="30" customHeight="1">
      <c r="A222" s="58" t="s">
        <v>516</v>
      </c>
      <c r="B222" s="58" t="str">
        <f>IFERROR(VLOOKUP($A222,[5]실험의뢰_장진영!$A:$M,3,0),"")</f>
        <v>설화수 진설명작크림 60ML (26AD 외용기</v>
      </c>
      <c r="C222" s="58" t="str">
        <f>IFERROR(VLOOKUP($A222,[5]실험의뢰_장진영!$A:$M,9,0),"")</f>
        <v>M251189_01</v>
      </c>
      <c r="D222" s="69" t="str">
        <f>IFERROR(VLOOKUP($A222,[5]실험의뢰_장진영!$A:$M,7,0),"")</f>
        <v>SI1619</v>
      </c>
      <c r="E222" s="1">
        <v>45888</v>
      </c>
      <c r="F222" t="s">
        <v>161</v>
      </c>
      <c r="G222" s="1" t="s">
        <v>487</v>
      </c>
      <c r="H222" t="s">
        <v>488</v>
      </c>
      <c r="I222" s="3">
        <v>5</v>
      </c>
      <c r="J222" s="46">
        <v>17</v>
      </c>
      <c r="K222" s="74">
        <v>250725</v>
      </c>
      <c r="L222" s="46" t="str">
        <f>실험지시[[#This Row],[금형코드]]</f>
        <v>M251189_01</v>
      </c>
      <c r="M222" s="60">
        <f>IFERROR(VLOOKUP($A222,[5]실험의뢰_장진영!$A:$M,5,0),"")</f>
        <v>200</v>
      </c>
      <c r="N222" s="58" t="str">
        <f>IFERROR(VLOOKUP($A222,[5]실험의뢰_장진영!$A:$M,4,0),"")</f>
        <v xml:space="preserve">T2 시사출 </v>
      </c>
      <c r="O222" s="59">
        <f>IFERROR(VLOOKUP($A222,[5]실험의뢰_장진영!$A:$M,6,0),"")</f>
        <v>0</v>
      </c>
      <c r="P222" s="58" t="str">
        <f>IFERROR(VLOOKUP($A222,[5]실험의뢰_장진영!$A:$M,10,0),"")</f>
        <v>PETG (SK케미칼 PN200)</v>
      </c>
      <c r="Q222" s="58">
        <f>IFERROR(VLOOKUP($A222,[5]실험의뢰_장진영!$A:$M,11,0),"")</f>
        <v>0</v>
      </c>
      <c r="R222" s="58">
        <f>IFERROR(VLOOKUP($A222,[5]실험의뢰_장진영!$A:$M,12,0),"")</f>
        <v>0</v>
      </c>
      <c r="S222" s="58">
        <f>IFERROR(VLOOKUP($A222,[5]실험의뢰_장진영!$A:$M,13,0),"")</f>
        <v>0</v>
      </c>
      <c r="T222" s="58"/>
    </row>
    <row r="223" spans="1:20" ht="30" customHeight="1">
      <c r="A223" s="58" t="s">
        <v>517</v>
      </c>
      <c r="B223" s="58" t="str">
        <f>IFERROR(VLOOKUP($A223,[5]실험의뢰_장진영!$A:$M,3,0),"")</f>
        <v>설화수 진설명작크림 60ML (26AD 용기받침 사출</v>
      </c>
      <c r="C223" s="58" t="str">
        <f>IFERROR(VLOOKUP($A223,[5]실험의뢰_장진영!$A:$M,9,0),"")</f>
        <v>M251190_01</v>
      </c>
      <c r="D223" s="69" t="str">
        <f>IFERROR(VLOOKUP($A223,[5]실험의뢰_장진영!$A:$M,7,0),"")</f>
        <v>SI1620</v>
      </c>
      <c r="E223" s="1">
        <v>45883</v>
      </c>
      <c r="F223" t="s">
        <v>161</v>
      </c>
      <c r="G223" s="1" t="s">
        <v>499</v>
      </c>
      <c r="H223" t="s">
        <v>500</v>
      </c>
      <c r="I223" s="3">
        <v>5</v>
      </c>
      <c r="J223" s="46">
        <v>26</v>
      </c>
      <c r="K223" s="74">
        <v>250801</v>
      </c>
      <c r="L223" s="46" t="str">
        <f>실험지시[[#This Row],[금형코드]]</f>
        <v>M251190_01</v>
      </c>
      <c r="M223" s="60">
        <f>IFERROR(VLOOKUP($A223,[5]실험의뢰_장진영!$A:$M,5,0),"")</f>
        <v>200</v>
      </c>
      <c r="N223" s="58" t="str">
        <f>IFERROR(VLOOKUP($A223,[5]실험의뢰_장진영!$A:$M,4,0),"")</f>
        <v xml:space="preserve">T2 시사출 </v>
      </c>
      <c r="O223" s="59">
        <f>IFERROR(VLOOKUP($A223,[5]실험의뢰_장진영!$A:$M,6,0),"")</f>
        <v>0</v>
      </c>
      <c r="P223" s="58" t="str">
        <f>IFERROR(VLOOKUP($A223,[5]실험의뢰_장진영!$A:$M,10,0),"")</f>
        <v>ABS (롯데첨단소재 MP-0670)</v>
      </c>
      <c r="Q223" s="58">
        <f>IFERROR(VLOOKUP($A223,[5]실험의뢰_장진영!$A:$M,11,0),"")</f>
        <v>0</v>
      </c>
      <c r="R223" s="58">
        <f>IFERROR(VLOOKUP($A223,[5]실험의뢰_장진영!$A:$M,12,0),"")</f>
        <v>0</v>
      </c>
      <c r="S223" s="58">
        <f>IFERROR(VLOOKUP($A223,[5]실험의뢰_장진영!$A:$M,13,0),"")</f>
        <v>0</v>
      </c>
      <c r="T223" s="58"/>
    </row>
    <row r="224" spans="1:20" ht="30" customHeight="1">
      <c r="A224" s="58" t="s">
        <v>518</v>
      </c>
      <c r="B224" s="58" t="str">
        <f>IFERROR(VLOOKUP($A224,[5]실험의뢰_장진영!$A:$M,3,0),"")</f>
        <v>설화수 진설명작크림 60ML (26AD 숄더장식 사출</v>
      </c>
      <c r="C224" s="58" t="str">
        <f>IFERROR(VLOOKUP($A224,[5]실험의뢰_장진영!$A:$M,9,0),"")</f>
        <v>M251191_01</v>
      </c>
      <c r="D224" s="69" t="str">
        <f>IFERROR(VLOOKUP($A224,[5]실험의뢰_장진영!$A:$M,7,0),"")</f>
        <v>SI1621</v>
      </c>
      <c r="E224" s="1">
        <v>45882</v>
      </c>
      <c r="F224" t="s">
        <v>161</v>
      </c>
      <c r="G224" s="1" t="s">
        <v>499</v>
      </c>
      <c r="H224" t="s">
        <v>500</v>
      </c>
      <c r="I224" s="3">
        <v>5</v>
      </c>
      <c r="J224" s="46">
        <v>26</v>
      </c>
      <c r="K224" s="74">
        <v>250801</v>
      </c>
      <c r="L224" s="46" t="str">
        <f>실험지시[[#This Row],[금형코드]]</f>
        <v>M251191_01</v>
      </c>
      <c r="M224" s="60">
        <f>IFERROR(VLOOKUP($A224,[5]실험의뢰_장진영!$A:$M,5,0),"")</f>
        <v>200</v>
      </c>
      <c r="N224" s="58" t="str">
        <f>IFERROR(VLOOKUP($A224,[5]실험의뢰_장진영!$A:$M,4,0),"")</f>
        <v xml:space="preserve">T2 시사출 </v>
      </c>
      <c r="O224" s="59">
        <f>IFERROR(VLOOKUP($A224,[5]실험의뢰_장진영!$A:$M,6,0),"")</f>
        <v>0</v>
      </c>
      <c r="P224" s="58" t="str">
        <f>IFERROR(VLOOKUP($A224,[5]실험의뢰_장진영!$A:$M,10,0),"")</f>
        <v>ABS (롯데첨단소재 MP-0670)</v>
      </c>
      <c r="Q224" s="58">
        <f>IFERROR(VLOOKUP($A224,[5]실험의뢰_장진영!$A:$M,11,0),"")</f>
        <v>0</v>
      </c>
      <c r="R224" s="58">
        <f>IFERROR(VLOOKUP($A224,[5]실험의뢰_장진영!$A:$M,12,0),"")</f>
        <v>0</v>
      </c>
      <c r="S224" s="58">
        <f>IFERROR(VLOOKUP($A224,[5]실험의뢰_장진영!$A:$M,13,0),"")</f>
        <v>0</v>
      </c>
      <c r="T224" s="58"/>
    </row>
    <row r="225" spans="1:20" ht="30" customHeight="1">
      <c r="A225" s="58" t="s">
        <v>519</v>
      </c>
      <c r="B225" s="58" t="str">
        <f>IFERROR(VLOOKUP($A225,[5]실험의뢰_장진영!$A:$M,3,0),"")</f>
        <v>설화수 진설명작크림 60ML (26AD 스파츌러대 사출</v>
      </c>
      <c r="C225" s="58" t="str">
        <f>IFERROR(VLOOKUP($A225,[5]실험의뢰_장진영!$A:$M,9,0),"")</f>
        <v>M251192_01</v>
      </c>
      <c r="D225" s="69" t="str">
        <f>IFERROR(VLOOKUP($A225,[5]실험의뢰_장진영!$A:$M,7,0),"")</f>
        <v>SI1622</v>
      </c>
      <c r="E225" s="1">
        <v>45883</v>
      </c>
      <c r="F225" t="s">
        <v>161</v>
      </c>
      <c r="G225" s="1" t="s">
        <v>197</v>
      </c>
      <c r="I225" s="3"/>
      <c r="J225" s="46">
        <v>20</v>
      </c>
      <c r="L225" s="46" t="str">
        <f>실험지시[[#This Row],[금형코드]]</f>
        <v>M251192_01</v>
      </c>
      <c r="M225" s="60">
        <f>IFERROR(VLOOKUP($A225,[5]실험의뢰_장진영!$A:$M,5,0),"")</f>
        <v>200</v>
      </c>
      <c r="N225" s="58" t="str">
        <f>IFERROR(VLOOKUP($A225,[5]실험의뢰_장진영!$A:$M,4,0),"")</f>
        <v xml:space="preserve">T2 시사출 </v>
      </c>
      <c r="O225" s="59">
        <f>IFERROR(VLOOKUP($A225,[5]실험의뢰_장진영!$A:$M,6,0),"")</f>
        <v>0</v>
      </c>
      <c r="P225" s="58" t="str">
        <f>IFERROR(VLOOKUP($A225,[5]실험의뢰_장진영!$A:$M,10,0),"")</f>
        <v>ABS (롯데첨단소재 MP-0670)</v>
      </c>
      <c r="Q225" s="58">
        <f>IFERROR(VLOOKUP($A225,[5]실험의뢰_장진영!$A:$M,11,0),"")</f>
        <v>0</v>
      </c>
      <c r="R225" s="58">
        <f>IFERROR(VLOOKUP($A225,[5]실험의뢰_장진영!$A:$M,12,0),"")</f>
        <v>0</v>
      </c>
      <c r="S225" s="58">
        <f>IFERROR(VLOOKUP($A225,[5]실험의뢰_장진영!$A:$M,13,0),"")</f>
        <v>0</v>
      </c>
      <c r="T225" s="58"/>
    </row>
    <row r="226" spans="1:20" ht="30" customHeight="1">
      <c r="A226" s="58" t="s">
        <v>520</v>
      </c>
      <c r="B226" s="58" t="str">
        <f>IFERROR(VLOOKUP($A226,[5]실험의뢰_장진영!$A:$M,3,0),"")</f>
        <v>설화수 진설명작크림 리필 60ML (26AD 단캡</v>
      </c>
      <c r="C226" s="58" t="str">
        <f>IFERROR(VLOOKUP($A226,[5]실험의뢰_장진영!$A:$M,9,0),"")</f>
        <v>M251217_01</v>
      </c>
      <c r="D226" s="69" t="str">
        <f>IFERROR(VLOOKUP($A226,[5]실험의뢰_장진영!$A:$M,7,0),"")</f>
        <v>SI1623</v>
      </c>
      <c r="E226" s="1">
        <v>45888</v>
      </c>
      <c r="F226" t="s">
        <v>161</v>
      </c>
      <c r="G226" s="1" t="s">
        <v>487</v>
      </c>
      <c r="H226" t="s">
        <v>488</v>
      </c>
      <c r="I226" s="3">
        <v>5</v>
      </c>
      <c r="J226" s="46">
        <v>17</v>
      </c>
      <c r="K226" s="74">
        <v>250704</v>
      </c>
      <c r="L226" s="46" t="str">
        <f>실험지시[[#This Row],[금형코드]]</f>
        <v>M251217_01</v>
      </c>
      <c r="M226" s="60">
        <f>IFERROR(VLOOKUP($A226,[5]실험의뢰_장진영!$A:$M,5,0),"")</f>
        <v>200</v>
      </c>
      <c r="N226" s="58" t="str">
        <f>IFERROR(VLOOKUP($A226,[5]실험의뢰_장진영!$A:$M,4,0),"")</f>
        <v xml:space="preserve">T2 시사출 </v>
      </c>
      <c r="O226" s="59">
        <f>IFERROR(VLOOKUP($A226,[5]실험의뢰_장진영!$A:$M,6,0),"")</f>
        <v>0</v>
      </c>
      <c r="P226" s="58" t="str">
        <f>IFERROR(VLOOKUP($A226,[5]실험의뢰_장진영!$A:$M,10,0),"")</f>
        <v>PETG (SK케미칼 PN200)</v>
      </c>
      <c r="Q226" s="58">
        <f>IFERROR(VLOOKUP($A226,[5]실험의뢰_장진영!$A:$M,11,0),"")</f>
        <v>0</v>
      </c>
      <c r="R226" s="58">
        <f>IFERROR(VLOOKUP($A226,[5]실험의뢰_장진영!$A:$M,12,0),"")</f>
        <v>0</v>
      </c>
      <c r="S226" s="58">
        <f>IFERROR(VLOOKUP($A226,[5]실험의뢰_장진영!$A:$M,13,0),"")</f>
        <v>0</v>
      </c>
      <c r="T226" s="58"/>
    </row>
    <row r="227" spans="1:20" ht="30" customHeight="1">
      <c r="A227" s="99" t="str">
        <f>실험지시[[#This Row],[품목코드]] &amp; "_" &amp; TEXT(실험지시[[#This Row],[실험지시일자]], "yyyymmdd")</f>
        <v>SI1634_20250822</v>
      </c>
      <c r="B227" t="s">
        <v>949</v>
      </c>
      <c r="C227" s="99" t="str">
        <f>IFERROR(VLOOKUP(실험지시[[#This Row],[제품명]],BOM_개발품목[[제품명]:[사양]],5,0),"")</f>
        <v>M251183_01</v>
      </c>
      <c r="D227" s="112" t="str">
        <f>IFERROR(VLOOKUP(실험지시[[#This Row],[제품명]],BOM_개발품목[[제품명]:[사양]],4,0),"")</f>
        <v>SI1634</v>
      </c>
      <c r="E227" s="1">
        <v>45891</v>
      </c>
      <c r="F227" t="s">
        <v>161</v>
      </c>
      <c r="G227" s="100" t="s">
        <v>484</v>
      </c>
      <c r="H227" t="s">
        <v>485</v>
      </c>
      <c r="I227" s="3">
        <v>5</v>
      </c>
      <c r="J227" s="46">
        <v>20</v>
      </c>
      <c r="L227" s="129" t="str">
        <f>실험지시[[#This Row],[금형코드]]</f>
        <v>M251183_01</v>
      </c>
      <c r="M227" s="131" t="str">
        <f>IFERROR(VLOOKUP($A227,[5]실험의뢰_장진영!$A:$M,5,0),"")</f>
        <v/>
      </c>
      <c r="N227" s="104" t="str">
        <f>IFERROR(VLOOKUP($A227,[5]실험의뢰_장진영!$A:$M,4,0),"")</f>
        <v/>
      </c>
      <c r="O227" s="132" t="str">
        <f>IFERROR(VLOOKUP($A227,[5]실험의뢰_장진영!$A:$M,6,0),"")</f>
        <v/>
      </c>
      <c r="P227" s="99" t="str">
        <f>IFERROR(VLOOKUP(실험지시[[#This Row],[제품명]],BOM_개발품목[[제품명]:[사양]],7,0),"")</f>
        <v>Hytrel (Dupont H7246)</v>
      </c>
      <c r="Q227" s="104" t="str">
        <f>IFERROR(VLOOKUP($A227,[5]실험의뢰_장진영!$A:$M,11,0),"")</f>
        <v/>
      </c>
      <c r="R227" s="104" t="str">
        <f>IFERROR(VLOOKUP($A227,[5]실험의뢰_장진영!$A:$M,12,0),"")</f>
        <v/>
      </c>
      <c r="S227" s="104" t="str">
        <f>IFERROR(VLOOKUP($A227,[5]실험의뢰_장진영!$A:$M,13,0),"")</f>
        <v/>
      </c>
      <c r="T227" s="58"/>
    </row>
    <row r="228" spans="1:20" ht="30" customHeight="1">
      <c r="A228" s="99" t="str">
        <f>실험지시[[#This Row],[품목코드]] &amp; "_" &amp; TEXT(실험지시[[#This Row],[실험지시일자]], "yyyymmdd")</f>
        <v>SI1637_20250828</v>
      </c>
      <c r="B228" t="s">
        <v>1370</v>
      </c>
      <c r="C228" s="99" t="str">
        <f>IFERROR(VLOOKUP(실험지시[[#This Row],[제품명]],BOM_개발품목[[제품명]:[사양]],5,0),"")</f>
        <v>M251264_01</v>
      </c>
      <c r="D228" s="112" t="str">
        <f>IFERROR(VLOOKUP(실험지시[[#This Row],[제품명]],BOM_개발품목[[제품명]:[사양]],4,0),"")</f>
        <v>SI1637</v>
      </c>
      <c r="E228" s="1">
        <v>45897</v>
      </c>
      <c r="F228" t="s">
        <v>74</v>
      </c>
      <c r="G228" s="1" t="s">
        <v>1372</v>
      </c>
      <c r="H228" t="s">
        <v>1436</v>
      </c>
      <c r="I228" s="3">
        <v>4</v>
      </c>
      <c r="J228" s="46">
        <v>32</v>
      </c>
      <c r="L228" s="129" t="str">
        <f>실험지시[[#This Row],[금형코드]]</f>
        <v>M251264_01</v>
      </c>
      <c r="M228" s="131" t="str">
        <f>IFERROR(VLOOKUP($A228,[5]실험의뢰_장진영!$A:$M,5,0),"")</f>
        <v/>
      </c>
      <c r="N228" s="104" t="str">
        <f>IFERROR(VLOOKUP($A228,[5]실험의뢰_장진영!$A:$M,4,0),"")</f>
        <v/>
      </c>
      <c r="O228" s="132" t="str">
        <f>IFERROR(VLOOKUP($A228,[5]실험의뢰_장진영!$A:$M,6,0),"")</f>
        <v/>
      </c>
      <c r="P228" s="99" t="str">
        <f>IFERROR(VLOOKUP(실험지시[[#This Row],[제품명]],BOM_개발품목[[제품명]:[사양]],7,0),"")</f>
        <v>PMMA (LGMMA IF850)</v>
      </c>
      <c r="Q228" s="104" t="str">
        <f>IFERROR(VLOOKUP($A228,[5]실험의뢰_장진영!$A:$M,11,0),"")</f>
        <v/>
      </c>
      <c r="R228" s="104" t="str">
        <f>IFERROR(VLOOKUP($A228,[5]실험의뢰_장진영!$A:$M,12,0),"")</f>
        <v/>
      </c>
      <c r="S228" s="104" t="str">
        <f>IFERROR(VLOOKUP($A228,[5]실험의뢰_장진영!$A:$M,13,0),"")</f>
        <v/>
      </c>
      <c r="T228" s="58"/>
    </row>
    <row r="229" spans="1:20" ht="30" customHeight="1">
      <c r="A229" s="99" t="str">
        <f>실험지시[[#This Row],[품목코드]] &amp; "_" &amp; TEXT(실험지시[[#This Row],[실험지시일자]], "yyyymmdd")</f>
        <v>SI1643_20250828</v>
      </c>
      <c r="B229" t="s">
        <v>1397</v>
      </c>
      <c r="C229" s="99" t="str">
        <f>IFERROR(VLOOKUP(실험지시[[#This Row],[제품명]],BOM_개발품목[[제품명]:[사양]],5,0),"")</f>
        <v>M251268_01</v>
      </c>
      <c r="D229" s="112" t="str">
        <f>IFERROR(VLOOKUP(실험지시[[#This Row],[제품명]],BOM_개발품목[[제품명]:[사양]],4,0),"")</f>
        <v>SI1643</v>
      </c>
      <c r="E229" s="1">
        <v>45897</v>
      </c>
      <c r="F229" t="s">
        <v>74</v>
      </c>
      <c r="G229" s="1" t="s">
        <v>1372</v>
      </c>
      <c r="H229" t="s">
        <v>1436</v>
      </c>
      <c r="I229" s="3">
        <v>4</v>
      </c>
      <c r="J229" s="46">
        <v>32</v>
      </c>
      <c r="L229" s="129" t="str">
        <f>실험지시[[#This Row],[금형코드]]</f>
        <v>M251268_01</v>
      </c>
      <c r="M229" s="131" t="str">
        <f>IFERROR(VLOOKUP($A229,[5]실험의뢰_장진영!$A:$M,5,0),"")</f>
        <v/>
      </c>
      <c r="N229" s="104" t="str">
        <f>IFERROR(VLOOKUP($A229,[5]실험의뢰_장진영!$A:$M,4,0),"")</f>
        <v/>
      </c>
      <c r="O229" s="132" t="str">
        <f>IFERROR(VLOOKUP($A229,[5]실험의뢰_장진영!$A:$M,6,0),"")</f>
        <v/>
      </c>
      <c r="P229" s="99" t="str">
        <f>IFERROR(VLOOKUP(실험지시[[#This Row],[제품명]],BOM_개발품목[[제품명]:[사양]],7,0),"")</f>
        <v>PMMA (LGMMA IF850)</v>
      </c>
      <c r="Q229" s="104" t="str">
        <f>IFERROR(VLOOKUP($A229,[5]실험의뢰_장진영!$A:$M,11,0),"")</f>
        <v/>
      </c>
      <c r="R229" s="104" t="str">
        <f>IFERROR(VLOOKUP($A229,[5]실험의뢰_장진영!$A:$M,12,0),"")</f>
        <v/>
      </c>
      <c r="S229" s="104" t="str">
        <f>IFERROR(VLOOKUP($A229,[5]실험의뢰_장진영!$A:$M,13,0),"")</f>
        <v/>
      </c>
      <c r="T229" s="58"/>
    </row>
    <row r="230" spans="1:20" ht="30" customHeight="1">
      <c r="A230" s="99" t="str">
        <f>실험지시[[#This Row],[품목코드]] &amp; "_" &amp; TEXT(실험지시[[#This Row],[실험지시일자]], "yyyymmdd")</f>
        <v>SI1218_20250902</v>
      </c>
      <c r="B230" t="s">
        <v>1382</v>
      </c>
      <c r="C230" s="99" t="str">
        <f>IFERROR(VLOOKUP(실험지시[[#This Row],[제품명]],BOM_개발품목[[제품명]:[사양]],5,0),"")</f>
        <v>M201037_01</v>
      </c>
      <c r="D230" s="112" t="str">
        <f>IFERROR(VLOOKUP(실험지시[[#This Row],[제품명]],BOM_개발품목[[제품명]:[사양]],4,0),"")</f>
        <v>SI1218</v>
      </c>
      <c r="E230" s="1">
        <v>45902</v>
      </c>
      <c r="F230" t="s">
        <v>161</v>
      </c>
      <c r="G230" s="1" t="s">
        <v>499</v>
      </c>
      <c r="I230" s="3"/>
      <c r="J230" s="46">
        <v>17</v>
      </c>
      <c r="L230" s="129" t="str">
        <f>실험지시[[#This Row],[금형코드]]</f>
        <v>M201037_01</v>
      </c>
      <c r="M230" s="131" t="str">
        <f>IFERROR(VLOOKUP($A230,[5]실험의뢰_장진영!$A:$M,5,0),"")</f>
        <v/>
      </c>
      <c r="N230" s="104" t="str">
        <f>IFERROR(VLOOKUP($A230,[5]실험의뢰_장진영!$A:$M,4,0),"")</f>
        <v/>
      </c>
      <c r="O230" s="132" t="str">
        <f>IFERROR(VLOOKUP($A230,[5]실험의뢰_장진영!$A:$M,6,0),"")</f>
        <v/>
      </c>
      <c r="P230" s="99" t="str">
        <f>IFERROR(VLOOKUP(실험지시[[#This Row],[제품명]],BOM_개발품목[[제품명]:[사양]],7,0),"")</f>
        <v>ABS (롯데첨단소재 MP-0670)</v>
      </c>
      <c r="Q230" s="104" t="str">
        <f>IFERROR(VLOOKUP($A230,[5]실험의뢰_장진영!$A:$M,11,0),"")</f>
        <v/>
      </c>
      <c r="R230" s="104" t="str">
        <f>IFERROR(VLOOKUP($A230,[5]실험의뢰_장진영!$A:$M,12,0),"")</f>
        <v/>
      </c>
      <c r="S230" s="104" t="str">
        <f>IFERROR(VLOOKUP($A230,[5]실험의뢰_장진영!$A:$M,13,0),"")</f>
        <v/>
      </c>
      <c r="T230" s="58"/>
    </row>
    <row r="231" spans="1:20" ht="30" customHeight="1">
      <c r="A231" s="99" t="str">
        <f>실험지시[[#This Row],[품목코드]] &amp; "_" &amp; TEXT(실험지시[[#This Row],[실험지시일자]], "yyyymmdd")</f>
        <v>SI1640_20250903</v>
      </c>
      <c r="B231" t="s">
        <v>1383</v>
      </c>
      <c r="C231" s="99" t="str">
        <f>IFERROR(VLOOKUP(실험지시[[#This Row],[제품명]],BOM_개발품목[[제품명]:[사양]],5,0),"")</f>
        <v>M251265_01</v>
      </c>
      <c r="D231" s="112" t="str">
        <f>IFERROR(VLOOKUP(실험지시[[#This Row],[제품명]],BOM_개발품목[[제품명]:[사양]],4,0),"")</f>
        <v>SI1640</v>
      </c>
      <c r="E231" s="1">
        <v>45903</v>
      </c>
      <c r="F231" t="s">
        <v>161</v>
      </c>
      <c r="G231" t="s">
        <v>1437</v>
      </c>
      <c r="H231" t="s">
        <v>1438</v>
      </c>
      <c r="I231" s="3">
        <v>3.5</v>
      </c>
      <c r="J231" s="46">
        <v>29</v>
      </c>
      <c r="L231" s="129" t="str">
        <f>실험지시[[#This Row],[금형코드]]</f>
        <v>M251265_01</v>
      </c>
      <c r="M231" s="131" t="str">
        <f>IFERROR(VLOOKUP($A231,[5]실험의뢰_장진영!$A:$M,5,0),"")</f>
        <v/>
      </c>
      <c r="N231" s="104" t="str">
        <f>IFERROR(VLOOKUP($A231,[5]실험의뢰_장진영!$A:$M,4,0),"")</f>
        <v/>
      </c>
      <c r="O231" s="132" t="str">
        <f>IFERROR(VLOOKUP($A231,[5]실험의뢰_장진영!$A:$M,6,0),"")</f>
        <v/>
      </c>
      <c r="P231" s="99" t="str">
        <f>IFERROR(VLOOKUP(실험지시[[#This Row],[제품명]],BOM_개발품목[[제품명]:[사양]],7,0),"")</f>
        <v>POK (효성 M330T)</v>
      </c>
      <c r="Q231" s="104" t="str">
        <f>IFERROR(VLOOKUP($A231,[5]실험의뢰_장진영!$A:$M,11,0),"")</f>
        <v/>
      </c>
      <c r="R231" s="104" t="str">
        <f>IFERROR(VLOOKUP($A231,[5]실험의뢰_장진영!$A:$M,12,0),"")</f>
        <v/>
      </c>
      <c r="S231" s="104" t="str">
        <f>IFERROR(VLOOKUP($A231,[5]실험의뢰_장진영!$A:$M,13,0),"")</f>
        <v/>
      </c>
      <c r="T231" s="58"/>
    </row>
    <row r="232" spans="1:20" ht="30" customHeight="1">
      <c r="A232" s="99" t="str">
        <f>실험지시[[#This Row],[품목코드]] &amp; "_" &amp; TEXT(실험지시[[#This Row],[실험지시일자]], "yyyymmdd")</f>
        <v>SI1641_20250903</v>
      </c>
      <c r="B232" t="s">
        <v>1390</v>
      </c>
      <c r="C232" s="99" t="str">
        <f>IFERROR(VLOOKUP(실험지시[[#This Row],[제품명]],BOM_개발품목[[제품명]:[사양]],5,0),"")</f>
        <v>M251266_01</v>
      </c>
      <c r="D232" s="112" t="str">
        <f>IFERROR(VLOOKUP(실험지시[[#This Row],[제품명]],BOM_개발품목[[제품명]:[사양]],4,0),"")</f>
        <v>SI1641</v>
      </c>
      <c r="E232" s="1">
        <v>45903</v>
      </c>
      <c r="F232" t="s">
        <v>161</v>
      </c>
      <c r="G232" s="1" t="s">
        <v>157</v>
      </c>
      <c r="H232" t="s">
        <v>1439</v>
      </c>
      <c r="I232" s="3">
        <v>4</v>
      </c>
      <c r="J232" s="46">
        <v>29</v>
      </c>
      <c r="L232" s="129" t="str">
        <f>실험지시[[#This Row],[금형코드]]</f>
        <v>M251266_01</v>
      </c>
      <c r="M232" s="131" t="str">
        <f>IFERROR(VLOOKUP($A232,[5]실험의뢰_장진영!$A:$M,5,0),"")</f>
        <v/>
      </c>
      <c r="N232" s="104" t="str">
        <f>IFERROR(VLOOKUP($A232,[5]실험의뢰_장진영!$A:$M,4,0),"")</f>
        <v/>
      </c>
      <c r="O232" s="132" t="str">
        <f>IFERROR(VLOOKUP($A232,[5]실험의뢰_장진영!$A:$M,6,0),"")</f>
        <v/>
      </c>
      <c r="P232" s="99" t="str">
        <f>IFERROR(VLOOKUP(실험지시[[#This Row],[제품명]],BOM_개발품목[[제품명]:[사양]],7,0),"")</f>
        <v>PP (롯데케미칼 J-560S)</v>
      </c>
      <c r="Q232" s="104" t="str">
        <f>IFERROR(VLOOKUP($A232,[5]실험의뢰_장진영!$A:$M,11,0),"")</f>
        <v/>
      </c>
      <c r="R232" s="104" t="str">
        <f>IFERROR(VLOOKUP($A232,[5]실험의뢰_장진영!$A:$M,12,0),"")</f>
        <v/>
      </c>
      <c r="S232" s="104" t="str">
        <f>IFERROR(VLOOKUP($A232,[5]실험의뢰_장진영!$A:$M,13,0),"")</f>
        <v/>
      </c>
      <c r="T232" s="58"/>
    </row>
    <row r="233" spans="1:20" ht="30" customHeight="1">
      <c r="A233" s="99" t="str">
        <f>실험지시[[#This Row],[품목코드]] &amp; "_" &amp; TEXT(실험지시[[#This Row],[실험지시일자]], "yyyymmdd")</f>
        <v>SI1638_20250902</v>
      </c>
      <c r="B233" t="s">
        <v>1373</v>
      </c>
      <c r="C233" s="99" t="str">
        <f>IFERROR(VLOOKUP(실험지시[[#This Row],[제품명]],BOM_개발품목[[제품명]:[사양]],5,0),"")</f>
        <v>M251263_01</v>
      </c>
      <c r="D233" s="112" t="str">
        <f>IFERROR(VLOOKUP(실험지시[[#This Row],[제품명]],BOM_개발품목[[제품명]:[사양]],4,0),"")</f>
        <v>SI1638</v>
      </c>
      <c r="E233" s="1">
        <v>45902</v>
      </c>
      <c r="F233" t="s">
        <v>161</v>
      </c>
      <c r="G233" t="s">
        <v>1437</v>
      </c>
      <c r="H233" t="s">
        <v>1438</v>
      </c>
      <c r="I233" s="3">
        <v>2.5</v>
      </c>
      <c r="J233" s="46">
        <v>17</v>
      </c>
      <c r="L233" s="129" t="str">
        <f>실험지시[[#This Row],[금형코드]]</f>
        <v>M251263_01</v>
      </c>
      <c r="M233" s="131" t="str">
        <f>IFERROR(VLOOKUP($A233,[5]실험의뢰_장진영!$A:$M,5,0),"")</f>
        <v/>
      </c>
      <c r="N233" s="104" t="str">
        <f>IFERROR(VLOOKUP($A233,[5]실험의뢰_장진영!$A:$M,4,0),"")</f>
        <v/>
      </c>
      <c r="O233" s="132" t="str">
        <f>IFERROR(VLOOKUP($A233,[5]실험의뢰_장진영!$A:$M,6,0),"")</f>
        <v/>
      </c>
      <c r="P233" s="99" t="str">
        <f>IFERROR(VLOOKUP(실험지시[[#This Row],[제품명]],BOM_개발품목[[제품명]:[사양]],7,0),"")</f>
        <v>PCR PP (한화토탈에너지스 PCR RJ570E (CR PCR 100%))</v>
      </c>
      <c r="Q233" s="104" t="str">
        <f>IFERROR(VLOOKUP($A233,[5]실험의뢰_장진영!$A:$M,11,0),"")</f>
        <v/>
      </c>
      <c r="R233" s="104" t="str">
        <f>IFERROR(VLOOKUP($A233,[5]실험의뢰_장진영!$A:$M,12,0),"")</f>
        <v/>
      </c>
      <c r="S233" s="104" t="str">
        <f>IFERROR(VLOOKUP($A233,[5]실험의뢰_장진영!$A:$M,13,0),"")</f>
        <v/>
      </c>
      <c r="T233" s="58"/>
    </row>
    <row r="234" spans="1:20" ht="30" customHeight="1">
      <c r="A234" s="99" t="str">
        <f>실험지시[[#This Row],[품목코드]] &amp; "_" &amp; TEXT(실험지시[[#This Row],[실험지시일자]], "yyyymmdd")</f>
        <v>SI1642_20250902</v>
      </c>
      <c r="B234" t="s">
        <v>1401</v>
      </c>
      <c r="C234" s="99" t="str">
        <f>IFERROR(VLOOKUP(실험지시[[#This Row],[제품명]],BOM_개발품목[[제품명]:[사양]],5,0),"")</f>
        <v>M251267_01</v>
      </c>
      <c r="D234" s="112" t="str">
        <f>IFERROR(VLOOKUP(실험지시[[#This Row],[제품명]],BOM_개발품목[[제품명]:[사양]],4,0),"")</f>
        <v>SI1642</v>
      </c>
      <c r="E234" s="1">
        <v>45902</v>
      </c>
      <c r="F234" t="s">
        <v>161</v>
      </c>
      <c r="G234" t="s">
        <v>1437</v>
      </c>
      <c r="H234" t="s">
        <v>1438</v>
      </c>
      <c r="I234" s="3">
        <v>2.5</v>
      </c>
      <c r="J234" s="46">
        <v>17</v>
      </c>
      <c r="L234" s="129" t="str">
        <f>실험지시[[#This Row],[금형코드]]</f>
        <v>M251267_01</v>
      </c>
      <c r="M234" s="131" t="str">
        <f>IFERROR(VLOOKUP($A234,[5]실험의뢰_장진영!$A:$M,5,0),"")</f>
        <v/>
      </c>
      <c r="N234" s="104" t="str">
        <f>IFERROR(VLOOKUP($A234,[5]실험의뢰_장진영!$A:$M,4,0),"")</f>
        <v/>
      </c>
      <c r="O234" s="132" t="str">
        <f>IFERROR(VLOOKUP($A234,[5]실험의뢰_장진영!$A:$M,6,0),"")</f>
        <v/>
      </c>
      <c r="P234" s="99" t="str">
        <f>IFERROR(VLOOKUP(실험지시[[#This Row],[제품명]],BOM_개발품목[[제품명]:[사양]],7,0),"")</f>
        <v>PCR PP (한화토탈에너지스 PCR RJ570E (CR PCR 100%))</v>
      </c>
      <c r="Q234" s="104" t="str">
        <f>IFERROR(VLOOKUP($A234,[5]실험의뢰_장진영!$A:$M,11,0),"")</f>
        <v/>
      </c>
      <c r="R234" s="104" t="str">
        <f>IFERROR(VLOOKUP($A234,[5]실험의뢰_장진영!$A:$M,12,0),"")</f>
        <v/>
      </c>
      <c r="S234" s="104" t="str">
        <f>IFERROR(VLOOKUP($A234,[5]실험의뢰_장진영!$A:$M,13,0),"")</f>
        <v/>
      </c>
      <c r="T234" s="58"/>
    </row>
    <row r="235" spans="1:20" ht="30" customHeight="1">
      <c r="A235" s="99" t="str">
        <f>실험지시[[#This Row],[품목코드]] &amp; "_" &amp; TEXT(실험지시[[#This Row],[실험지시일자]], "yyyymmdd")</f>
        <v>SI1620_20250904</v>
      </c>
      <c r="B235" t="s">
        <v>940</v>
      </c>
      <c r="C235" s="99" t="str">
        <f>IFERROR(VLOOKUP(실험지시[[#This Row],[제품명]],BOM_개발품목[[제품명]:[사양]],5,0),"")</f>
        <v>M251190_01</v>
      </c>
      <c r="D235" s="112" t="str">
        <f>IFERROR(VLOOKUP(실험지시[[#This Row],[제품명]],BOM_개발품목[[제품명]:[사양]],4,0),"")</f>
        <v>SI1620</v>
      </c>
      <c r="E235" s="1">
        <v>45904</v>
      </c>
      <c r="F235" t="s">
        <v>161</v>
      </c>
      <c r="G235" s="1" t="s">
        <v>499</v>
      </c>
      <c r="H235" t="s">
        <v>500</v>
      </c>
      <c r="I235" s="3">
        <v>5</v>
      </c>
      <c r="J235" s="46">
        <v>21</v>
      </c>
      <c r="L235" s="129" t="str">
        <f>실험지시[[#This Row],[금형코드]]</f>
        <v>M251190_01</v>
      </c>
      <c r="M235" s="131" t="str">
        <f>IFERROR(VLOOKUP($A235,[5]실험의뢰_장진영!$A:$M,5,0),"")</f>
        <v/>
      </c>
      <c r="N235" s="104" t="str">
        <f>IFERROR(VLOOKUP($A235,[5]실험의뢰_장진영!$A:$M,4,0),"")</f>
        <v/>
      </c>
      <c r="O235" s="132" t="str">
        <f>IFERROR(VLOOKUP($A235,[5]실험의뢰_장진영!$A:$M,6,0),"")</f>
        <v/>
      </c>
      <c r="P235" s="99" t="str">
        <f>IFERROR(VLOOKUP(실험지시[[#This Row],[제품명]],BOM_개발품목[[제품명]:[사양]],7,0),"")</f>
        <v>ABS (롯데첨단소재 MP-0670)</v>
      </c>
      <c r="Q235" s="104" t="str">
        <f>IFERROR(VLOOKUP($A235,[5]실험의뢰_장진영!$A:$M,11,0),"")</f>
        <v/>
      </c>
      <c r="R235" s="104" t="str">
        <f>IFERROR(VLOOKUP($A235,[5]실험의뢰_장진영!$A:$M,12,0),"")</f>
        <v/>
      </c>
      <c r="S235" s="104" t="str">
        <f>IFERROR(VLOOKUP($A235,[5]실험의뢰_장진영!$A:$M,13,0),"")</f>
        <v/>
      </c>
      <c r="T235" s="58"/>
    </row>
    <row r="236" spans="1:20" ht="30" customHeight="1">
      <c r="A236" s="99" t="str">
        <f>실험지시[[#This Row],[품목코드]] &amp; "_" &amp; TEXT(실험지시[[#This Row],[실험지시일자]], "yyyymmdd")</f>
        <v>SI1632_20250911</v>
      </c>
      <c r="B236" t="s">
        <v>927</v>
      </c>
      <c r="C236" s="99" t="str">
        <f>IFERROR(VLOOKUP(실험지시[[#This Row],[제품명]],BOM_개발품목[[제품명]:[사양]],5,0),"")</f>
        <v>M251181_01</v>
      </c>
      <c r="D236" s="112" t="str">
        <f>IFERROR(VLOOKUP(실험지시[[#This Row],[제품명]],BOM_개발품목[[제품명]:[사양]],4,0),"")</f>
        <v>SI1632</v>
      </c>
      <c r="E236" s="1">
        <v>45911</v>
      </c>
      <c r="G236" s="1" t="s">
        <v>157</v>
      </c>
      <c r="H236" t="s">
        <v>480</v>
      </c>
      <c r="I236" s="3">
        <v>5</v>
      </c>
      <c r="J236" s="46">
        <v>17</v>
      </c>
      <c r="K236" s="74">
        <v>250708</v>
      </c>
      <c r="L236" s="129" t="str">
        <f>실험지시[[#This Row],[금형코드]]</f>
        <v>M251181_01</v>
      </c>
      <c r="M236" s="131" t="str">
        <f>IFERROR(VLOOKUP($A236,[5]실험의뢰_장진영!$A:$M,5,0),"")</f>
        <v/>
      </c>
      <c r="N236" s="104" t="str">
        <f>IFERROR(VLOOKUP($A236,[5]실험의뢰_장진영!$A:$M,4,0),"")</f>
        <v/>
      </c>
      <c r="O236" s="132" t="str">
        <f>IFERROR(VLOOKUP($A236,[5]실험의뢰_장진영!$A:$M,6,0),"")</f>
        <v/>
      </c>
      <c r="P236" s="99" t="str">
        <f>IFERROR(VLOOKUP(실험지시[[#This Row],[제품명]],BOM_개발품목[[제품명]:[사양]],7,0),"")</f>
        <v>PP (롯데케미칼 J-560S)</v>
      </c>
      <c r="Q236" s="104" t="str">
        <f>IFERROR(VLOOKUP($A236,[5]실험의뢰_장진영!$A:$M,11,0),"")</f>
        <v/>
      </c>
      <c r="R236" s="104" t="str">
        <f>IFERROR(VLOOKUP($A236,[5]실험의뢰_장진영!$A:$M,12,0),"")</f>
        <v/>
      </c>
      <c r="S236" s="104" t="str">
        <f>IFERROR(VLOOKUP($A236,[5]실험의뢰_장진영!$A:$M,13,0),"")</f>
        <v/>
      </c>
      <c r="T236" s="58"/>
    </row>
    <row r="237" spans="1:20" ht="30" customHeight="1">
      <c r="A237" s="99" t="str">
        <f>실험지시[[#This Row],[품목코드]] &amp; "_" &amp; TEXT(실험지시[[#This Row],[실험지시일자]], "yyyymmdd")</f>
        <v>SI1628_20250911</v>
      </c>
      <c r="B237" t="s">
        <v>932</v>
      </c>
      <c r="C237" s="99" t="str">
        <f>IFERROR(VLOOKUP(실험지시[[#This Row],[제품명]],BOM_개발품목[[제품명]:[사양]],5,0),"")</f>
        <v>M251177_01</v>
      </c>
      <c r="D237" s="112" t="str">
        <f>IFERROR(VLOOKUP(실험지시[[#This Row],[제품명]],BOM_개발품목[[제품명]:[사양]],4,0),"")</f>
        <v>SI1628</v>
      </c>
      <c r="E237" s="1">
        <v>45911</v>
      </c>
      <c r="G237" s="1" t="s">
        <v>157</v>
      </c>
      <c r="H237" t="s">
        <v>480</v>
      </c>
      <c r="I237" s="3">
        <v>5</v>
      </c>
      <c r="J237" s="46">
        <v>17</v>
      </c>
      <c r="K237" s="74">
        <v>250708</v>
      </c>
      <c r="L237" s="129" t="str">
        <f>실험지시[[#This Row],[금형코드]]</f>
        <v>M251177_01</v>
      </c>
      <c r="M237" s="131" t="str">
        <f>IFERROR(VLOOKUP($A237,[5]실험의뢰_장진영!$A:$M,5,0),"")</f>
        <v/>
      </c>
      <c r="N237" s="104" t="str">
        <f>IFERROR(VLOOKUP($A237,[5]실험의뢰_장진영!$A:$M,4,0),"")</f>
        <v/>
      </c>
      <c r="O237" s="132" t="str">
        <f>IFERROR(VLOOKUP($A237,[5]실험의뢰_장진영!$A:$M,6,0),"")</f>
        <v/>
      </c>
      <c r="P237" s="99" t="str">
        <f>IFERROR(VLOOKUP(실험지시[[#This Row],[제품명]],BOM_개발품목[[제품명]:[사양]],7,0),"")</f>
        <v>PP (롯데케미칼 J-560S)</v>
      </c>
      <c r="Q237" s="104" t="str">
        <f>IFERROR(VLOOKUP($A237,[5]실험의뢰_장진영!$A:$M,11,0),"")</f>
        <v/>
      </c>
      <c r="R237" s="104" t="str">
        <f>IFERROR(VLOOKUP($A237,[5]실험의뢰_장진영!$A:$M,12,0),"")</f>
        <v/>
      </c>
      <c r="S237" s="104" t="str">
        <f>IFERROR(VLOOKUP($A237,[5]실험의뢰_장진영!$A:$M,13,0),"")</f>
        <v/>
      </c>
      <c r="T237" s="58"/>
    </row>
    <row r="238" spans="1:20" ht="30" customHeight="1">
      <c r="A238" s="99" t="str">
        <f>실험지시[[#This Row],[품목코드]] &amp; "_" &amp; TEXT(실험지시[[#This Row],[실험지시일자]], "yyyymmdd")</f>
        <v>SI1614_20250911</v>
      </c>
      <c r="B238" t="s">
        <v>934</v>
      </c>
      <c r="C238" s="99" t="str">
        <f>IFERROR(VLOOKUP(실험지시[[#This Row],[제품명]],BOM_개발품목[[제품명]:[사양]],5,0),"")</f>
        <v>M251184_01</v>
      </c>
      <c r="D238" s="112" t="str">
        <f>IFERROR(VLOOKUP(실험지시[[#This Row],[제품명]],BOM_개발품목[[제품명]:[사양]],4,0),"")</f>
        <v>SI1614</v>
      </c>
      <c r="E238" s="1">
        <v>45911</v>
      </c>
      <c r="F238" t="s">
        <v>161</v>
      </c>
      <c r="G238" s="1" t="s">
        <v>341</v>
      </c>
      <c r="H238" t="s">
        <v>471</v>
      </c>
      <c r="I238" s="3">
        <v>5</v>
      </c>
      <c r="J238" s="46">
        <v>17</v>
      </c>
      <c r="K238" s="74">
        <v>250725</v>
      </c>
      <c r="L238" s="129" t="str">
        <f>실험지시[[#This Row],[금형코드]]</f>
        <v>M251184_01</v>
      </c>
      <c r="M238" s="131" t="str">
        <f>IFERROR(VLOOKUP($A238,[5]실험의뢰_장진영!$A:$M,5,0),"")</f>
        <v/>
      </c>
      <c r="N238" s="104" t="str">
        <f>IFERROR(VLOOKUP($A238,[5]실험의뢰_장진영!$A:$M,4,0),"")</f>
        <v/>
      </c>
      <c r="O238" s="132" t="str">
        <f>IFERROR(VLOOKUP($A238,[5]실험의뢰_장진영!$A:$M,6,0),"")</f>
        <v/>
      </c>
      <c r="P238" s="99" t="str">
        <f>IFERROR(VLOOKUP(실험지시[[#This Row],[제품명]],BOM_개발품목[[제품명]:[사양]],7,0),"")</f>
        <v>PP (대한유화 4017) (30%)
PP (다원소재 DW-2360) (70%)</v>
      </c>
      <c r="Q238" s="104" t="str">
        <f>IFERROR(VLOOKUP($A238,[5]실험의뢰_장진영!$A:$M,11,0),"")</f>
        <v/>
      </c>
      <c r="R238" s="104" t="str">
        <f>IFERROR(VLOOKUP($A238,[5]실험의뢰_장진영!$A:$M,12,0),"")</f>
        <v/>
      </c>
      <c r="S238" s="104" t="str">
        <f>IFERROR(VLOOKUP($A238,[5]실험의뢰_장진영!$A:$M,13,0),"")</f>
        <v/>
      </c>
      <c r="T238" s="58"/>
    </row>
    <row r="239" spans="1:20" ht="30" customHeight="1">
      <c r="A239" s="99" t="str">
        <f>실험지시[[#This Row],[품목코드]] &amp; "_" &amp; TEXT(실험지시[[#This Row],[실험지시일자]], "yyyymmdd")</f>
        <v>SI1618_20250911</v>
      </c>
      <c r="B239" t="s">
        <v>938</v>
      </c>
      <c r="C239" s="99" t="str">
        <f>IFERROR(VLOOKUP(실험지시[[#This Row],[제품명]],BOM_개발품목[[제품명]:[사양]],5,0),"")</f>
        <v>M251187_01</v>
      </c>
      <c r="D239" s="112" t="str">
        <f>IFERROR(VLOOKUP(실험지시[[#This Row],[제품명]],BOM_개발품목[[제품명]:[사양]],4,0),"")</f>
        <v>SI1618</v>
      </c>
      <c r="E239" s="1">
        <v>45911</v>
      </c>
      <c r="F239" t="s">
        <v>161</v>
      </c>
      <c r="G239" s="1" t="s">
        <v>157</v>
      </c>
      <c r="H239" t="s">
        <v>501</v>
      </c>
      <c r="I239" s="3">
        <v>5</v>
      </c>
      <c r="J239" s="46">
        <v>17</v>
      </c>
      <c r="K239" s="74">
        <v>250725</v>
      </c>
      <c r="L239" s="129" t="str">
        <f>실험지시[[#This Row],[금형코드]]</f>
        <v>M251187_01</v>
      </c>
      <c r="M239" s="131" t="str">
        <f>IFERROR(VLOOKUP($A239,[5]실험의뢰_장진영!$A:$M,5,0),"")</f>
        <v/>
      </c>
      <c r="N239" s="104" t="str">
        <f>IFERROR(VLOOKUP($A239,[5]실험의뢰_장진영!$A:$M,4,0),"")</f>
        <v/>
      </c>
      <c r="O239" s="132" t="str">
        <f>IFERROR(VLOOKUP($A239,[5]실험의뢰_장진영!$A:$M,6,0),"")</f>
        <v/>
      </c>
      <c r="P239" s="99" t="str">
        <f>IFERROR(VLOOKUP(실험지시[[#This Row],[제품명]],BOM_개발품목[[제품명]:[사양]],7,0),"")</f>
        <v>PP (롯데케미칼 J-560S)</v>
      </c>
      <c r="Q239" s="104" t="str">
        <f>IFERROR(VLOOKUP($A239,[5]실험의뢰_장진영!$A:$M,11,0),"")</f>
        <v/>
      </c>
      <c r="R239" s="104" t="str">
        <f>IFERROR(VLOOKUP($A239,[5]실험의뢰_장진영!$A:$M,12,0),"")</f>
        <v/>
      </c>
      <c r="S239" s="104" t="str">
        <f>IFERROR(VLOOKUP($A239,[5]실험의뢰_장진영!$A:$M,13,0),"")</f>
        <v/>
      </c>
      <c r="T239" s="58"/>
    </row>
    <row r="240" spans="1:20" ht="30" customHeight="1">
      <c r="A240" s="99" t="str">
        <f>실험지시[[#This Row],[품목코드]] &amp; "_" &amp; TEXT(실험지시[[#This Row],[실험지시일자]], "yyyymmdd")</f>
        <v>SI1619_20250911</v>
      </c>
      <c r="B240" t="s">
        <v>939</v>
      </c>
      <c r="C240" s="99" t="str">
        <f>IFERROR(VLOOKUP(실험지시[[#This Row],[제품명]],BOM_개발품목[[제품명]:[사양]],5,0),"")</f>
        <v>M251189_01</v>
      </c>
      <c r="D240" s="112" t="str">
        <f>IFERROR(VLOOKUP(실험지시[[#This Row],[제품명]],BOM_개발품목[[제품명]:[사양]],4,0),"")</f>
        <v>SI1619</v>
      </c>
      <c r="E240" s="1">
        <v>45911</v>
      </c>
      <c r="F240" t="s">
        <v>161</v>
      </c>
      <c r="G240" s="1" t="s">
        <v>487</v>
      </c>
      <c r="H240" t="s">
        <v>1441</v>
      </c>
      <c r="I240" s="3">
        <v>5</v>
      </c>
      <c r="J240" s="46">
        <v>17</v>
      </c>
      <c r="K240" s="74">
        <v>250725</v>
      </c>
      <c r="L240" s="129" t="str">
        <f>실험지시[[#This Row],[금형코드]]</f>
        <v>M251189_01</v>
      </c>
      <c r="M240" s="131" t="str">
        <f>IFERROR(VLOOKUP($A240,[5]실험의뢰_장진영!$A:$M,5,0),"")</f>
        <v/>
      </c>
      <c r="N240" s="104" t="str">
        <f>IFERROR(VLOOKUP($A240,[5]실험의뢰_장진영!$A:$M,4,0),"")</f>
        <v/>
      </c>
      <c r="O240" s="132" t="str">
        <f>IFERROR(VLOOKUP($A240,[5]실험의뢰_장진영!$A:$M,6,0),"")</f>
        <v/>
      </c>
      <c r="P240" s="99" t="str">
        <f>IFERROR(VLOOKUP(실험지시[[#This Row],[제품명]],BOM_개발품목[[제품명]:[사양]],7,0),"")</f>
        <v>PETG (SK케미칼 PN200)</v>
      </c>
      <c r="Q240" s="104" t="str">
        <f>IFERROR(VLOOKUP($A240,[5]실험의뢰_장진영!$A:$M,11,0),"")</f>
        <v/>
      </c>
      <c r="R240" s="104" t="str">
        <f>IFERROR(VLOOKUP($A240,[5]실험의뢰_장진영!$A:$M,12,0),"")</f>
        <v/>
      </c>
      <c r="S240" s="104" t="str">
        <f>IFERROR(VLOOKUP($A240,[5]실험의뢰_장진영!$A:$M,13,0),"")</f>
        <v/>
      </c>
      <c r="T240" s="58"/>
    </row>
    <row r="241" spans="1:20" ht="30" customHeight="1">
      <c r="A241" s="99" t="str">
        <f>실험지시[[#This Row],[품목코드]] &amp; "_" &amp; TEXT(실험지시[[#This Row],[실험지시일자]], "yyyymmdd")</f>
        <v>SI1637_20250913</v>
      </c>
      <c r="B241" t="s">
        <v>1370</v>
      </c>
      <c r="C241" s="99" t="str">
        <f>IFERROR(VLOOKUP(실험지시[[#This Row],[제품명]],BOM_개발품목[[제품명]:[사양]],5,0),"")</f>
        <v>M251264_01</v>
      </c>
      <c r="D241" s="112" t="str">
        <f>IFERROR(VLOOKUP(실험지시[[#This Row],[제품명]],BOM_개발품목[[제품명]:[사양]],4,0),"")</f>
        <v>SI1637</v>
      </c>
      <c r="E241" s="1">
        <v>45913</v>
      </c>
      <c r="F241" t="s">
        <v>74</v>
      </c>
      <c r="G241" s="1" t="s">
        <v>1372</v>
      </c>
      <c r="H241" t="s">
        <v>1442</v>
      </c>
      <c r="I241" s="3">
        <v>2.5</v>
      </c>
      <c r="J241" s="46">
        <v>32</v>
      </c>
      <c r="K241" s="74">
        <v>250711</v>
      </c>
      <c r="L241" s="129" t="str">
        <f>실험지시[[#This Row],[금형코드]]</f>
        <v>M251264_01</v>
      </c>
      <c r="M241" s="131" t="str">
        <f>IFERROR(VLOOKUP($A241,[5]실험의뢰_장진영!$A:$M,5,0),"")</f>
        <v/>
      </c>
      <c r="N241" s="104" t="str">
        <f>IFERROR(VLOOKUP($A241,[5]실험의뢰_장진영!$A:$M,4,0),"")</f>
        <v/>
      </c>
      <c r="O241" s="132" t="str">
        <f>IFERROR(VLOOKUP($A241,[5]실험의뢰_장진영!$A:$M,6,0),"")</f>
        <v/>
      </c>
      <c r="P241" s="99" t="str">
        <f>IFERROR(VLOOKUP(실험지시[[#This Row],[제품명]],BOM_개발품목[[제품명]:[사양]],7,0),"")</f>
        <v>PMMA (LGMMA IF850)</v>
      </c>
      <c r="Q241" s="104" t="str">
        <f>IFERROR(VLOOKUP($A241,[5]실험의뢰_장진영!$A:$M,11,0),"")</f>
        <v/>
      </c>
      <c r="R241" s="104" t="str">
        <f>IFERROR(VLOOKUP($A241,[5]실험의뢰_장진영!$A:$M,12,0),"")</f>
        <v/>
      </c>
      <c r="S241" s="104" t="str">
        <f>IFERROR(VLOOKUP($A241,[5]실험의뢰_장진영!$A:$M,13,0),"")</f>
        <v/>
      </c>
      <c r="T241" s="58"/>
    </row>
    <row r="242" spans="1:20" ht="30" customHeight="1">
      <c r="A242" s="99" t="str">
        <f>실험지시[[#This Row],[품목코드]] &amp; "_" &amp; TEXT(실험지시[[#This Row],[실험지시일자]], "yyyymmdd")</f>
        <v>SI1643_20250913</v>
      </c>
      <c r="B242" t="s">
        <v>1397</v>
      </c>
      <c r="C242" s="99" t="str">
        <f>IFERROR(VLOOKUP(실험지시[[#This Row],[제품명]],BOM_개발품목[[제품명]:[사양]],5,0),"")</f>
        <v>M251268_01</v>
      </c>
      <c r="D242" s="112" t="str">
        <f>IFERROR(VLOOKUP(실험지시[[#This Row],[제품명]],BOM_개발품목[[제품명]:[사양]],4,0),"")</f>
        <v>SI1643</v>
      </c>
      <c r="E242" s="1">
        <v>45913</v>
      </c>
      <c r="F242" t="s">
        <v>74</v>
      </c>
      <c r="G242" s="1" t="s">
        <v>1372</v>
      </c>
      <c r="H242" t="s">
        <v>1442</v>
      </c>
      <c r="I242" s="3">
        <v>2.5</v>
      </c>
      <c r="J242" s="46">
        <v>32</v>
      </c>
      <c r="K242" s="74">
        <v>250711</v>
      </c>
      <c r="L242" s="129" t="str">
        <f>실험지시[[#This Row],[금형코드]]</f>
        <v>M251268_01</v>
      </c>
      <c r="M242" s="131" t="str">
        <f>IFERROR(VLOOKUP($A242,[5]실험의뢰_장진영!$A:$M,5,0),"")</f>
        <v/>
      </c>
      <c r="N242" s="104" t="str">
        <f>IFERROR(VLOOKUP($A242,[5]실험의뢰_장진영!$A:$M,4,0),"")</f>
        <v/>
      </c>
      <c r="O242" s="132" t="str">
        <f>IFERROR(VLOOKUP($A242,[5]실험의뢰_장진영!$A:$M,6,0),"")</f>
        <v/>
      </c>
      <c r="P242" s="99" t="str">
        <f>IFERROR(VLOOKUP(실험지시[[#This Row],[제품명]],BOM_개발품목[[제품명]:[사양]],7,0),"")</f>
        <v>PMMA (LGMMA IF850)</v>
      </c>
      <c r="Q242" s="104" t="str">
        <f>IFERROR(VLOOKUP($A242,[5]실험의뢰_장진영!$A:$M,11,0),"")</f>
        <v/>
      </c>
      <c r="R242" s="104" t="str">
        <f>IFERROR(VLOOKUP($A242,[5]실험의뢰_장진영!$A:$M,12,0),"")</f>
        <v/>
      </c>
      <c r="S242" s="104" t="str">
        <f>IFERROR(VLOOKUP($A242,[5]실험의뢰_장진영!$A:$M,13,0),"")</f>
        <v/>
      </c>
      <c r="T242" s="58"/>
    </row>
    <row r="243" spans="1:20" ht="30" customHeight="1">
      <c r="A243" s="99" t="str">
        <f>실험지시[[#This Row],[품목코드]] &amp; "_" &amp; TEXT(실험지시[[#This Row],[실험지시일자]], "yyyymmdd")</f>
        <v>SI1638_20250915</v>
      </c>
      <c r="B243" t="s">
        <v>1373</v>
      </c>
      <c r="C243" s="99" t="str">
        <f>IFERROR(VLOOKUP(실험지시[[#This Row],[제품명]],BOM_개발품목[[제품명]:[사양]],5,0),"")</f>
        <v>M251263_01</v>
      </c>
      <c r="D243" s="112" t="str">
        <f>IFERROR(VLOOKUP(실험지시[[#This Row],[제품명]],BOM_개발품목[[제품명]:[사양]],4,0),"")</f>
        <v>SI1638</v>
      </c>
      <c r="E243" s="1">
        <v>45915</v>
      </c>
      <c r="F243" t="s">
        <v>74</v>
      </c>
      <c r="G243" t="s">
        <v>1437</v>
      </c>
      <c r="H243" t="s">
        <v>1438</v>
      </c>
      <c r="I243" s="3">
        <v>3</v>
      </c>
      <c r="J243" s="46">
        <v>17</v>
      </c>
      <c r="K243" s="74">
        <v>250711</v>
      </c>
      <c r="L243" s="129" t="str">
        <f>실험지시[[#This Row],[금형코드]]</f>
        <v>M251263_01</v>
      </c>
      <c r="M243" s="131" t="str">
        <f>IFERROR(VLOOKUP($A243,[5]실험의뢰_장진영!$A:$M,5,0),"")</f>
        <v/>
      </c>
      <c r="N243" s="104" t="str">
        <f>IFERROR(VLOOKUP($A243,[5]실험의뢰_장진영!$A:$M,4,0),"")</f>
        <v/>
      </c>
      <c r="O243" s="132" t="str">
        <f>IFERROR(VLOOKUP($A243,[5]실험의뢰_장진영!$A:$M,6,0),"")</f>
        <v/>
      </c>
      <c r="P243" s="99" t="str">
        <f>IFERROR(VLOOKUP(실험지시[[#This Row],[제품명]],BOM_개발품목[[제품명]:[사양]],7,0),"")</f>
        <v>PCR PP (한화토탈에너지스 PCR RJ570E (CR PCR 100%))</v>
      </c>
      <c r="Q243" s="104" t="str">
        <f>IFERROR(VLOOKUP($A243,[5]실험의뢰_장진영!$A:$M,11,0),"")</f>
        <v/>
      </c>
      <c r="R243" s="104" t="str">
        <f>IFERROR(VLOOKUP($A243,[5]실험의뢰_장진영!$A:$M,12,0),"")</f>
        <v/>
      </c>
      <c r="S243" s="104" t="str">
        <f>IFERROR(VLOOKUP($A243,[5]실험의뢰_장진영!$A:$M,13,0),"")</f>
        <v/>
      </c>
      <c r="T243" s="58"/>
    </row>
    <row r="244" spans="1:20" ht="30" customHeight="1">
      <c r="A244" s="99" t="str">
        <f>실험지시[[#This Row],[품목코드]] &amp; "_" &amp; TEXT(실험지시[[#This Row],[실험지시일자]], "yyyymmdd")</f>
        <v>SI1642_20250915</v>
      </c>
      <c r="B244" t="s">
        <v>1401</v>
      </c>
      <c r="C244" s="99" t="str">
        <f>IFERROR(VLOOKUP(실험지시[[#This Row],[제품명]],BOM_개발품목[[제품명]:[사양]],5,0),"")</f>
        <v>M251267_01</v>
      </c>
      <c r="D244" s="112" t="str">
        <f>IFERROR(VLOOKUP(실험지시[[#This Row],[제품명]],BOM_개발품목[[제품명]:[사양]],4,0),"")</f>
        <v>SI1642</v>
      </c>
      <c r="E244" s="1">
        <v>45915</v>
      </c>
      <c r="F244" t="s">
        <v>74</v>
      </c>
      <c r="G244" t="s">
        <v>1437</v>
      </c>
      <c r="H244" t="s">
        <v>1438</v>
      </c>
      <c r="I244" s="3">
        <v>2.5</v>
      </c>
      <c r="J244" s="46">
        <v>17</v>
      </c>
      <c r="K244" s="74">
        <v>250711</v>
      </c>
      <c r="L244" s="129" t="str">
        <f>실험지시[[#This Row],[금형코드]]</f>
        <v>M251267_01</v>
      </c>
      <c r="M244" s="131" t="str">
        <f>IFERROR(VLOOKUP($A244,[5]실험의뢰_장진영!$A:$M,5,0),"")</f>
        <v/>
      </c>
      <c r="N244" s="104" t="str">
        <f>IFERROR(VLOOKUP($A244,[5]실험의뢰_장진영!$A:$M,4,0),"")</f>
        <v/>
      </c>
      <c r="O244" s="132" t="str">
        <f>IFERROR(VLOOKUP($A244,[5]실험의뢰_장진영!$A:$M,6,0),"")</f>
        <v/>
      </c>
      <c r="P244" s="99" t="str">
        <f>IFERROR(VLOOKUP(실험지시[[#This Row],[제품명]],BOM_개발품목[[제품명]:[사양]],7,0),"")</f>
        <v>PCR PP (한화토탈에너지스 PCR RJ570E (CR PCR 100%))</v>
      </c>
      <c r="Q244" s="104" t="str">
        <f>IFERROR(VLOOKUP($A244,[5]실험의뢰_장진영!$A:$M,11,0),"")</f>
        <v/>
      </c>
      <c r="R244" s="104" t="str">
        <f>IFERROR(VLOOKUP($A244,[5]실험의뢰_장진영!$A:$M,12,0),"")</f>
        <v/>
      </c>
      <c r="S244" s="104" t="str">
        <f>IFERROR(VLOOKUP($A244,[5]실험의뢰_장진영!$A:$M,13,0),"")</f>
        <v/>
      </c>
      <c r="T244" s="58"/>
    </row>
    <row r="245" spans="1:20" ht="30" customHeight="1">
      <c r="A245" s="99" t="str">
        <f>실험지시[[#This Row],[품목코드]] &amp; "_" &amp; TEXT(실험지시[[#This Row],[실험지시일자]], "yyyymmdd")</f>
        <v>SI1640_20250916</v>
      </c>
      <c r="B245" t="s">
        <v>1383</v>
      </c>
      <c r="C245" s="99" t="str">
        <f>IFERROR(VLOOKUP(실험지시[[#This Row],[제품명]],BOM_개발품목[[제품명]:[사양]],5,0),"")</f>
        <v>M251265_01</v>
      </c>
      <c r="D245" s="112" t="str">
        <f>IFERROR(VLOOKUP(실험지시[[#This Row],[제품명]],BOM_개발품목[[제품명]:[사양]],4,0),"")</f>
        <v>SI1640</v>
      </c>
      <c r="E245" s="1">
        <v>45916</v>
      </c>
      <c r="F245" t="s">
        <v>74</v>
      </c>
      <c r="G245" t="s">
        <v>1437</v>
      </c>
      <c r="H245" t="s">
        <v>1438</v>
      </c>
      <c r="I245" s="3">
        <v>3</v>
      </c>
      <c r="J245" s="46">
        <v>17</v>
      </c>
      <c r="K245" s="74">
        <v>250905</v>
      </c>
      <c r="L245" s="129" t="str">
        <f>실험지시[[#This Row],[금형코드]]</f>
        <v>M251265_01</v>
      </c>
      <c r="M245" s="131" t="str">
        <f>IFERROR(VLOOKUP($A245,[5]실험의뢰_장진영!$A:$M,5,0),"")</f>
        <v/>
      </c>
      <c r="N245" s="104" t="str">
        <f>IFERROR(VLOOKUP($A245,[5]실험의뢰_장진영!$A:$M,4,0),"")</f>
        <v/>
      </c>
      <c r="O245" s="132" t="str">
        <f>IFERROR(VLOOKUP($A245,[5]실험의뢰_장진영!$A:$M,6,0),"")</f>
        <v/>
      </c>
      <c r="P245" s="99" t="str">
        <f>IFERROR(VLOOKUP(실험지시[[#This Row],[제품명]],BOM_개발품목[[제품명]:[사양]],7,0),"")</f>
        <v>POK (효성 M330T)</v>
      </c>
      <c r="Q245" s="104" t="str">
        <f>IFERROR(VLOOKUP($A245,[5]실험의뢰_장진영!$A:$M,11,0),"")</f>
        <v/>
      </c>
      <c r="R245" s="104" t="str">
        <f>IFERROR(VLOOKUP($A245,[5]실험의뢰_장진영!$A:$M,12,0),"")</f>
        <v/>
      </c>
      <c r="S245" s="104" t="str">
        <f>IFERROR(VLOOKUP($A245,[5]실험의뢰_장진영!$A:$M,13,0),"")</f>
        <v/>
      </c>
      <c r="T245" s="58"/>
    </row>
    <row r="246" spans="1:20" ht="30" customHeight="1">
      <c r="A246" s="99" t="str">
        <f>실험지시[[#This Row],[품목코드]] &amp; "_" &amp; TEXT(실험지시[[#This Row],[실험지시일자]], "yyyymmdd")</f>
        <v>SI1641_20250916</v>
      </c>
      <c r="B246" t="s">
        <v>1390</v>
      </c>
      <c r="C246" s="99" t="str">
        <f>IFERROR(VLOOKUP(실험지시[[#This Row],[제품명]],BOM_개발품목[[제품명]:[사양]],5,0),"")</f>
        <v>M251266_01</v>
      </c>
      <c r="D246" s="112" t="str">
        <f>IFERROR(VLOOKUP(실험지시[[#This Row],[제품명]],BOM_개발품목[[제품명]:[사양]],4,0),"")</f>
        <v>SI1641</v>
      </c>
      <c r="E246" s="1">
        <v>45916</v>
      </c>
      <c r="F246" t="s">
        <v>74</v>
      </c>
      <c r="G246" s="1" t="s">
        <v>157</v>
      </c>
      <c r="H246" t="s">
        <v>1438</v>
      </c>
      <c r="I246" s="3">
        <v>3</v>
      </c>
      <c r="J246" s="46">
        <v>17</v>
      </c>
      <c r="K246" s="74">
        <v>250905</v>
      </c>
      <c r="L246" s="129" t="str">
        <f>실험지시[[#This Row],[금형코드]]</f>
        <v>M251266_01</v>
      </c>
      <c r="M246" s="131" t="str">
        <f>IFERROR(VLOOKUP($A246,[5]실험의뢰_장진영!$A:$M,5,0),"")</f>
        <v/>
      </c>
      <c r="N246" s="104" t="str">
        <f>IFERROR(VLOOKUP($A246,[5]실험의뢰_장진영!$A:$M,4,0),"")</f>
        <v/>
      </c>
      <c r="O246" s="132" t="str">
        <f>IFERROR(VLOOKUP($A246,[5]실험의뢰_장진영!$A:$M,6,0),"")</f>
        <v/>
      </c>
      <c r="P246" s="99" t="str">
        <f>IFERROR(VLOOKUP(실험지시[[#This Row],[제품명]],BOM_개발품목[[제품명]:[사양]],7,0),"")</f>
        <v>PP (롯데케미칼 J-560S)</v>
      </c>
      <c r="Q246" s="104" t="str">
        <f>IFERROR(VLOOKUP($A246,[5]실험의뢰_장진영!$A:$M,11,0),"")</f>
        <v/>
      </c>
      <c r="R246" s="104" t="str">
        <f>IFERROR(VLOOKUP($A246,[5]실험의뢰_장진영!$A:$M,12,0),"")</f>
        <v/>
      </c>
      <c r="S246" s="104" t="str">
        <f>IFERROR(VLOOKUP($A246,[5]실험의뢰_장진영!$A:$M,13,0),"")</f>
        <v/>
      </c>
      <c r="T246" s="58"/>
    </row>
    <row r="247" spans="1:20" ht="30" customHeight="1">
      <c r="A247" s="99" t="str">
        <f>실험지시[[#This Row],[품목코드]] &amp; "_" &amp; TEXT(실험지시[[#This Row],[실험지시일자]], "yyyymmdd")</f>
        <v>SI1637_20250919</v>
      </c>
      <c r="B247" t="s">
        <v>1370</v>
      </c>
      <c r="C247" s="99" t="str">
        <f>IFERROR(VLOOKUP(실험지시[[#This Row],[제품명]],BOM_개발품목[[제품명]:[사양]],5,0),"")</f>
        <v>M251264_01</v>
      </c>
      <c r="D247" s="112" t="str">
        <f>IFERROR(VLOOKUP(실험지시[[#This Row],[제품명]],BOM_개발품목[[제품명]:[사양]],4,0),"")</f>
        <v>SI1637</v>
      </c>
      <c r="E247" s="1">
        <v>45919</v>
      </c>
      <c r="F247" t="s">
        <v>74</v>
      </c>
      <c r="G247" s="1" t="s">
        <v>1372</v>
      </c>
      <c r="H247" t="s">
        <v>1442</v>
      </c>
      <c r="I247" s="3">
        <v>2.5</v>
      </c>
      <c r="J247" s="46">
        <v>12</v>
      </c>
      <c r="K247" s="74">
        <v>250711</v>
      </c>
      <c r="L247" s="129" t="str">
        <f>실험지시[[#This Row],[금형코드]]</f>
        <v>M251264_01</v>
      </c>
      <c r="M247" s="131">
        <v>200</v>
      </c>
      <c r="N247" s="104" t="s">
        <v>1443</v>
      </c>
      <c r="O247" s="132" t="str">
        <f>IFERROR(VLOOKUP($A247,[5]실험의뢰_장진영!$A:$M,6,0),"")</f>
        <v/>
      </c>
      <c r="P247" s="99" t="str">
        <f>IFERROR(VLOOKUP(실험지시[[#This Row],[제품명]],BOM_개발품목[[제품명]:[사양]],7,0),"")</f>
        <v>PMMA (LGMMA IF850)</v>
      </c>
      <c r="Q247" s="104" t="str">
        <f>IFERROR(VLOOKUP($A247,[5]실험의뢰_장진영!$A:$M,11,0),"")</f>
        <v/>
      </c>
      <c r="R247" s="104" t="str">
        <f>IFERROR(VLOOKUP($A247,[5]실험의뢰_장진영!$A:$M,12,0),"")</f>
        <v/>
      </c>
      <c r="S247" s="104" t="str">
        <f>IFERROR(VLOOKUP($A247,[5]실험의뢰_장진영!$A:$M,13,0),"")</f>
        <v/>
      </c>
      <c r="T247" s="58"/>
    </row>
    <row r="248" spans="1:20" ht="30" customHeight="1">
      <c r="A248" s="99" t="str">
        <f>실험지시[[#This Row],[품목코드]] &amp; "_" &amp; TEXT(실험지시[[#This Row],[실험지시일자]], "yyyymmdd")</f>
        <v>SI1619_20250919</v>
      </c>
      <c r="B248" t="s">
        <v>939</v>
      </c>
      <c r="C248" s="99" t="str">
        <f>IFERROR(VLOOKUP(실험지시[[#This Row],[제품명]],BOM_개발품목[[제품명]:[사양]],5,0),"")</f>
        <v>M251189_01</v>
      </c>
      <c r="D248" s="112" t="str">
        <f>IFERROR(VLOOKUP(실험지시[[#This Row],[제품명]],BOM_개발품목[[제품명]:[사양]],4,0),"")</f>
        <v>SI1619</v>
      </c>
      <c r="E248" s="1">
        <v>45919</v>
      </c>
      <c r="F248" t="s">
        <v>114</v>
      </c>
      <c r="G248" s="1" t="s">
        <v>487</v>
      </c>
      <c r="H248" t="s">
        <v>488</v>
      </c>
      <c r="I248" s="3">
        <v>5</v>
      </c>
      <c r="J248" s="46">
        <v>26</v>
      </c>
      <c r="K248" s="74">
        <v>250725</v>
      </c>
      <c r="L248" s="129" t="str">
        <f>실험지시[[#This Row],[금형코드]]</f>
        <v>M251189_01</v>
      </c>
      <c r="M248" s="131">
        <v>100</v>
      </c>
      <c r="N248" s="104" t="s">
        <v>1444</v>
      </c>
      <c r="O248" s="132" t="str">
        <f>IFERROR(VLOOKUP($A248,[5]실험의뢰_장진영!$A:$M,6,0),"")</f>
        <v/>
      </c>
      <c r="P248" s="99" t="str">
        <f>IFERROR(VLOOKUP(실험지시[[#This Row],[제품명]],BOM_개발품목[[제품명]:[사양]],7,0),"")</f>
        <v>PETG (SK케미칼 PN200)</v>
      </c>
      <c r="Q248" s="104" t="str">
        <f>IFERROR(VLOOKUP($A248,[5]실험의뢰_장진영!$A:$M,11,0),"")</f>
        <v/>
      </c>
      <c r="R248" s="104" t="str">
        <f>IFERROR(VLOOKUP($A248,[5]실험의뢰_장진영!$A:$M,12,0),"")</f>
        <v/>
      </c>
      <c r="S248" s="104" t="str">
        <f>IFERROR(VLOOKUP($A248,[5]실험의뢰_장진영!$A:$M,13,0),"")</f>
        <v/>
      </c>
      <c r="T248" s="58"/>
    </row>
    <row r="249" spans="1:20" ht="30" customHeight="1">
      <c r="A249" s="99" t="str">
        <f>실험지시[[#This Row],[품목코드]] &amp; "_" &amp; TEXT(실험지시[[#This Row],[실험지시일자]], "yyyymmdd")</f>
        <v>SI1637_20250923</v>
      </c>
      <c r="B249" t="s">
        <v>1370</v>
      </c>
      <c r="C249" s="99" t="str">
        <f>IFERROR(VLOOKUP(실험지시[[#This Row],[제품명]],BOM_개발품목[[제품명]:[사양]],5,0),"")</f>
        <v>M251264_01</v>
      </c>
      <c r="D249" s="112" t="str">
        <f>IFERROR(VLOOKUP(실험지시[[#This Row],[제품명]],BOM_개발품목[[제품명]:[사양]],4,0),"")</f>
        <v>SI1637</v>
      </c>
      <c r="E249" s="1">
        <v>45923</v>
      </c>
      <c r="F249" t="s">
        <v>288</v>
      </c>
      <c r="G249" s="1" t="s">
        <v>1372</v>
      </c>
      <c r="H249" t="s">
        <v>1442</v>
      </c>
      <c r="I249" s="3">
        <v>2.5</v>
      </c>
      <c r="J249" s="46">
        <v>12</v>
      </c>
      <c r="K249" s="74">
        <v>250711</v>
      </c>
      <c r="L249" s="129" t="str">
        <f>실험지시[[#This Row],[금형코드]]</f>
        <v>M251264_01</v>
      </c>
      <c r="M249" s="131" t="str">
        <f>IFERROR(VLOOKUP($A249,[5]실험의뢰_장진영!$A:$M,5,0),"")</f>
        <v/>
      </c>
      <c r="N249" s="104" t="str">
        <f>IFERROR(VLOOKUP($A249,[5]실험의뢰_장진영!$A:$M,4,0),"")</f>
        <v/>
      </c>
      <c r="O249" s="132" t="str">
        <f>IFERROR(VLOOKUP($A249,[5]실험의뢰_장진영!$A:$M,6,0),"")</f>
        <v/>
      </c>
      <c r="P249" s="99" t="str">
        <f>IFERROR(VLOOKUP(실험지시[[#This Row],[제품명]],BOM_개발품목[[제품명]:[사양]],7,0),"")</f>
        <v>PMMA (LGMMA IF850)</v>
      </c>
      <c r="Q249" s="104" t="str">
        <f>IFERROR(VLOOKUP($A249,[5]실험의뢰_장진영!$A:$M,11,0),"")</f>
        <v/>
      </c>
      <c r="R249" s="104" t="str">
        <f>IFERROR(VLOOKUP($A249,[5]실험의뢰_장진영!$A:$M,12,0),"")</f>
        <v/>
      </c>
      <c r="S249" s="104" t="str">
        <f>IFERROR(VLOOKUP($A249,[5]실험의뢰_장진영!$A:$M,13,0),"")</f>
        <v/>
      </c>
      <c r="T249" s="58"/>
    </row>
    <row r="250" spans="1:20" ht="30" customHeight="1">
      <c r="A250" s="99" t="str">
        <f>실험지시[[#This Row],[품목코드]] &amp; "_" &amp; TEXT(실험지시[[#This Row],[실험지시일자]], "yyyymmdd")</f>
        <v>SI1643_20250923</v>
      </c>
      <c r="B250" t="s">
        <v>1397</v>
      </c>
      <c r="C250" s="99" t="str">
        <f>IFERROR(VLOOKUP(실험지시[[#This Row],[제품명]],BOM_개발품목[[제품명]:[사양]],5,0),"")</f>
        <v>M251268_01</v>
      </c>
      <c r="D250" s="112" t="str">
        <f>IFERROR(VLOOKUP(실험지시[[#This Row],[제품명]],BOM_개발품목[[제품명]:[사양]],4,0),"")</f>
        <v>SI1643</v>
      </c>
      <c r="E250" s="1">
        <v>45923</v>
      </c>
      <c r="F250" t="s">
        <v>288</v>
      </c>
      <c r="G250" s="1" t="s">
        <v>1372</v>
      </c>
      <c r="H250" t="s">
        <v>1442</v>
      </c>
      <c r="I250" s="3">
        <v>2.5</v>
      </c>
      <c r="J250" s="46">
        <v>12</v>
      </c>
      <c r="K250" s="74">
        <v>250711</v>
      </c>
      <c r="L250" s="129" t="str">
        <f>실험지시[[#This Row],[금형코드]]</f>
        <v>M251268_01</v>
      </c>
      <c r="M250" s="131" t="str">
        <f>IFERROR(VLOOKUP($A250,[5]실험의뢰_장진영!$A:$M,5,0),"")</f>
        <v/>
      </c>
      <c r="N250" s="104" t="str">
        <f>IFERROR(VLOOKUP($A250,[5]실험의뢰_장진영!$A:$M,4,0),"")</f>
        <v/>
      </c>
      <c r="O250" s="132" t="str">
        <f>IFERROR(VLOOKUP($A250,[5]실험의뢰_장진영!$A:$M,6,0),"")</f>
        <v/>
      </c>
      <c r="P250" s="99" t="str">
        <f>IFERROR(VLOOKUP(실험지시[[#This Row],[제품명]],BOM_개발품목[[제품명]:[사양]],7,0),"")</f>
        <v>PMMA (LGMMA IF850)</v>
      </c>
      <c r="Q250" s="104" t="str">
        <f>IFERROR(VLOOKUP($A250,[5]실험의뢰_장진영!$A:$M,11,0),"")</f>
        <v/>
      </c>
      <c r="R250" s="104" t="str">
        <f>IFERROR(VLOOKUP($A250,[5]실험의뢰_장진영!$A:$M,12,0),"")</f>
        <v/>
      </c>
      <c r="S250" s="104" t="str">
        <f>IFERROR(VLOOKUP($A250,[5]실험의뢰_장진영!$A:$M,13,0),"")</f>
        <v/>
      </c>
      <c r="T250" s="58"/>
    </row>
    <row r="251" spans="1:20" ht="30" customHeight="1">
      <c r="A251" s="99" t="str">
        <f>실험지시[[#This Row],[품목코드]] &amp; "_" &amp; TEXT(실험지시[[#This Row],[실험지시일자]], "yyyymmdd")</f>
        <v>SI1640_20250923</v>
      </c>
      <c r="B251" t="s">
        <v>1383</v>
      </c>
      <c r="C251" s="99" t="str">
        <f>IFERROR(VLOOKUP(실험지시[[#This Row],[제품명]],BOM_개발품목[[제품명]:[사양]],5,0),"")</f>
        <v>M251265_01</v>
      </c>
      <c r="D251" s="112" t="str">
        <f>IFERROR(VLOOKUP(실험지시[[#This Row],[제품명]],BOM_개발품목[[제품명]:[사양]],4,0),"")</f>
        <v>SI1640</v>
      </c>
      <c r="E251" s="1">
        <v>45923</v>
      </c>
      <c r="F251" t="s">
        <v>74</v>
      </c>
      <c r="G251" t="s">
        <v>1437</v>
      </c>
      <c r="H251" t="s">
        <v>1438</v>
      </c>
      <c r="I251" s="3">
        <v>3</v>
      </c>
      <c r="J251" s="46">
        <v>23</v>
      </c>
      <c r="K251" s="74">
        <v>250905</v>
      </c>
      <c r="L251" s="129" t="str">
        <f>실험지시[[#This Row],[금형코드]]</f>
        <v>M251265_01</v>
      </c>
      <c r="M251" s="131" t="str">
        <f>IFERROR(VLOOKUP($A251,[5]실험의뢰_장진영!$A:$M,5,0),"")</f>
        <v/>
      </c>
      <c r="N251" s="104" t="str">
        <f>IFERROR(VLOOKUP($A251,[5]실험의뢰_장진영!$A:$M,4,0),"")</f>
        <v/>
      </c>
      <c r="O251" s="132" t="str">
        <f>IFERROR(VLOOKUP($A251,[5]실험의뢰_장진영!$A:$M,6,0),"")</f>
        <v/>
      </c>
      <c r="P251" s="99" t="str">
        <f>IFERROR(VLOOKUP(실험지시[[#This Row],[제품명]],BOM_개발품목[[제품명]:[사양]],7,0),"")</f>
        <v>POK (효성 M330T)</v>
      </c>
      <c r="Q251" s="104" t="str">
        <f>IFERROR(VLOOKUP($A251,[5]실험의뢰_장진영!$A:$M,11,0),"")</f>
        <v/>
      </c>
      <c r="R251" s="104" t="str">
        <f>IFERROR(VLOOKUP($A251,[5]실험의뢰_장진영!$A:$M,12,0),"")</f>
        <v/>
      </c>
      <c r="S251" s="104" t="str">
        <f>IFERROR(VLOOKUP($A251,[5]실험의뢰_장진영!$A:$M,13,0),"")</f>
        <v/>
      </c>
      <c r="T251" s="58"/>
    </row>
    <row r="252" spans="1:20" ht="30" customHeight="1">
      <c r="A252" s="99" t="str">
        <f>실험지시[[#This Row],[품목코드]] &amp; "_" &amp; TEXT(실험지시[[#This Row],[실험지시일자]], "yyyymmdd")</f>
        <v>SI1641_20250925</v>
      </c>
      <c r="B252" t="s">
        <v>1390</v>
      </c>
      <c r="C252" s="99" t="str">
        <f>IFERROR(VLOOKUP(실험지시[[#This Row],[제품명]],BOM_개발품목[[제품명]:[사양]],5,0),"")</f>
        <v>M251266_01</v>
      </c>
      <c r="D252" s="112" t="str">
        <f>IFERROR(VLOOKUP(실험지시[[#This Row],[제품명]],BOM_개발품목[[제품명]:[사양]],4,0),"")</f>
        <v>SI1641</v>
      </c>
      <c r="E252" s="1">
        <v>45925</v>
      </c>
      <c r="F252" t="s">
        <v>161</v>
      </c>
      <c r="G252" s="1" t="s">
        <v>157</v>
      </c>
      <c r="H252" t="s">
        <v>1438</v>
      </c>
      <c r="I252" s="3">
        <v>3</v>
      </c>
      <c r="J252" s="46">
        <v>14</v>
      </c>
      <c r="K252" s="74">
        <v>250905</v>
      </c>
      <c r="L252" s="129" t="str">
        <f>실험지시[[#This Row],[금형코드]]</f>
        <v>M251266_01</v>
      </c>
      <c r="M252" s="131" t="str">
        <f>IFERROR(VLOOKUP($A252,[5]실험의뢰_장진영!$A:$M,5,0),"")</f>
        <v/>
      </c>
      <c r="N252" s="104" t="str">
        <f>IFERROR(VLOOKUP($A252,[5]실험의뢰_장진영!$A:$M,4,0),"")</f>
        <v/>
      </c>
      <c r="O252" s="132" t="str">
        <f>IFERROR(VLOOKUP($A252,[5]실험의뢰_장진영!$A:$M,6,0),"")</f>
        <v/>
      </c>
      <c r="P252" s="99" t="str">
        <f>IFERROR(VLOOKUP(실험지시[[#This Row],[제품명]],BOM_개발품목[[제품명]:[사양]],7,0),"")</f>
        <v>PP (롯데케미칼 J-560S)</v>
      </c>
      <c r="Q252" s="104" t="str">
        <f>IFERROR(VLOOKUP($A252,[5]실험의뢰_장진영!$A:$M,11,0),"")</f>
        <v/>
      </c>
      <c r="R252" s="104" t="str">
        <f>IFERROR(VLOOKUP($A252,[5]실험의뢰_장진영!$A:$M,12,0),"")</f>
        <v/>
      </c>
      <c r="S252" s="104" t="str">
        <f>IFERROR(VLOOKUP($A252,[5]실험의뢰_장진영!$A:$M,13,0),"")</f>
        <v/>
      </c>
      <c r="T252" s="58"/>
    </row>
    <row r="253" spans="1:20" ht="30" customHeight="1">
      <c r="A253" s="99" t="str">
        <f>실험지시[[#This Row],[품목코드]] &amp; "_" &amp; TEXT(실험지시[[#This Row],[실험지시일자]], "yyyymmdd")</f>
        <v>SI1616_20250925</v>
      </c>
      <c r="B253" t="s">
        <v>936</v>
      </c>
      <c r="C253" s="99" t="str">
        <f>IFERROR(VLOOKUP(실험지시[[#This Row],[제품명]],BOM_개발품목[[제품명]:[사양]],5,0),"")</f>
        <v>M251186_01</v>
      </c>
      <c r="D253" s="112" t="str">
        <f>IFERROR(VLOOKUP(실험지시[[#This Row],[제품명]],BOM_개발품목[[제품명]:[사양]],4,0),"")</f>
        <v>SI1616</v>
      </c>
      <c r="E253" s="1">
        <v>45925</v>
      </c>
      <c r="F253" t="s">
        <v>161</v>
      </c>
      <c r="G253" s="100" t="s">
        <v>484</v>
      </c>
      <c r="H253" t="s">
        <v>1445</v>
      </c>
      <c r="I253" s="3">
        <v>6</v>
      </c>
      <c r="J253" s="46">
        <v>20</v>
      </c>
      <c r="K253" s="74">
        <v>250725</v>
      </c>
      <c r="L253" s="129" t="str">
        <f>실험지시[[#This Row],[금형코드]]</f>
        <v>M251186_01</v>
      </c>
      <c r="M253" s="131" t="str">
        <f>IFERROR(VLOOKUP($A253,[5]실험의뢰_장진영!$A:$M,5,0),"")</f>
        <v/>
      </c>
      <c r="N253" s="104" t="str">
        <f>IFERROR(VLOOKUP($A253,[5]실험의뢰_장진영!$A:$M,4,0),"")</f>
        <v/>
      </c>
      <c r="O253" s="132" t="str">
        <f>IFERROR(VLOOKUP($A253,[5]실험의뢰_장진영!$A:$M,6,0),"")</f>
        <v/>
      </c>
      <c r="P253" s="99" t="str">
        <f>IFERROR(VLOOKUP(실험지시[[#This Row],[제품명]],BOM_개발품목[[제품명]:[사양]],7,0),"")</f>
        <v>Hytrel (Dupont H7246)</v>
      </c>
      <c r="Q253" s="104" t="str">
        <f>IFERROR(VLOOKUP($A253,[5]실험의뢰_장진영!$A:$M,11,0),"")</f>
        <v/>
      </c>
      <c r="R253" s="104" t="str">
        <f>IFERROR(VLOOKUP($A253,[5]실험의뢰_장진영!$A:$M,12,0),"")</f>
        <v/>
      </c>
      <c r="S253" s="104" t="str">
        <f>IFERROR(VLOOKUP($A253,[5]실험의뢰_장진영!$A:$M,13,0),"")</f>
        <v/>
      </c>
      <c r="T253" s="58"/>
    </row>
    <row r="254" spans="1:20" ht="30" customHeight="1">
      <c r="A254" s="99" t="str">
        <f>실험지시[[#This Row],[품목코드]] &amp; "_" &amp; TEXT(실험지시[[#This Row],[실험지시일자]], "yyyymmdd")</f>
        <v>SI1634_20250926</v>
      </c>
      <c r="B254" t="s">
        <v>949</v>
      </c>
      <c r="C254" s="99" t="str">
        <f>IFERROR(VLOOKUP(실험지시[[#This Row],[제품명]],BOM_개발품목[[제품명]:[사양]],5,0),"")</f>
        <v>M251183_01</v>
      </c>
      <c r="D254" s="112" t="str">
        <f>IFERROR(VLOOKUP(실험지시[[#This Row],[제품명]],BOM_개발품목[[제품명]:[사양]],4,0),"")</f>
        <v>SI1634</v>
      </c>
      <c r="E254" s="1">
        <v>45926</v>
      </c>
      <c r="F254" t="s">
        <v>161</v>
      </c>
      <c r="G254" s="100" t="s">
        <v>484</v>
      </c>
      <c r="H254" t="s">
        <v>1445</v>
      </c>
      <c r="I254" s="3">
        <v>6</v>
      </c>
      <c r="J254" s="46">
        <v>20</v>
      </c>
      <c r="L254" s="129" t="str">
        <f>실험지시[[#This Row],[금형코드]]</f>
        <v>M251183_01</v>
      </c>
      <c r="M254" s="131" t="str">
        <f>IFERROR(VLOOKUP($A254,[5]실험의뢰_장진영!$A:$M,5,0),"")</f>
        <v/>
      </c>
      <c r="N254" s="104" t="str">
        <f>IFERROR(VLOOKUP($A254,[5]실험의뢰_장진영!$A:$M,4,0),"")</f>
        <v/>
      </c>
      <c r="O254" s="132" t="str">
        <f>IFERROR(VLOOKUP($A254,[5]실험의뢰_장진영!$A:$M,6,0),"")</f>
        <v/>
      </c>
      <c r="P254" s="99" t="str">
        <f>IFERROR(VLOOKUP(실험지시[[#This Row],[제품명]],BOM_개발품목[[제품명]:[사양]],7,0),"")</f>
        <v>Hytrel (Dupont H7246)</v>
      </c>
      <c r="Q254" s="104" t="str">
        <f>IFERROR(VLOOKUP($A254,[5]실험의뢰_장진영!$A:$M,11,0),"")</f>
        <v/>
      </c>
      <c r="R254" s="104" t="str">
        <f>IFERROR(VLOOKUP($A254,[5]실험의뢰_장진영!$A:$M,12,0),"")</f>
        <v/>
      </c>
      <c r="S254" s="104" t="str">
        <f>IFERROR(VLOOKUP($A254,[5]실험의뢰_장진영!$A:$M,13,0),"")</f>
        <v/>
      </c>
      <c r="T254" s="58"/>
    </row>
    <row r="255" spans="1:20" ht="30" customHeight="1">
      <c r="A255" s="99" t="str">
        <f>실험지시[[#This Row],[품목코드]] &amp; "_" &amp; TEXT(실험지시[[#This Row],[실험지시일자]], "yyyymmdd")</f>
        <v>SI1629_20250926</v>
      </c>
      <c r="B255" t="s">
        <v>929</v>
      </c>
      <c r="C255" s="99" t="str">
        <f>IFERROR(VLOOKUP(실험지시[[#This Row],[제품명]],BOM_개발품목[[제품명]:[사양]],5,0),"")</f>
        <v>M251178_01</v>
      </c>
      <c r="D255" s="112" t="str">
        <f>IFERROR(VLOOKUP(실험지시[[#This Row],[제품명]],BOM_개발품목[[제품명]:[사양]],4,0),"")</f>
        <v>SI1629</v>
      </c>
      <c r="E255" s="1">
        <v>45926</v>
      </c>
      <c r="F255" t="s">
        <v>161</v>
      </c>
      <c r="G255" s="100" t="s">
        <v>484</v>
      </c>
      <c r="H255" t="s">
        <v>1761</v>
      </c>
      <c r="I255" s="3">
        <v>6</v>
      </c>
      <c r="J255" s="46">
        <v>20</v>
      </c>
      <c r="L255" s="129" t="str">
        <f>실험지시[[#This Row],[금형코드]]</f>
        <v>M251178_01</v>
      </c>
      <c r="M255" s="131" t="str">
        <f>IFERROR(VLOOKUP($A255,[5]실험의뢰_장진영!$A:$M,5,0),"")</f>
        <v/>
      </c>
      <c r="N255" s="104" t="str">
        <f>IFERROR(VLOOKUP($A255,[5]실험의뢰_장진영!$A:$M,4,0),"")</f>
        <v/>
      </c>
      <c r="O255" s="132" t="str">
        <f>IFERROR(VLOOKUP($A255,[5]실험의뢰_장진영!$A:$M,6,0),"")</f>
        <v/>
      </c>
      <c r="P255" s="99" t="str">
        <f>IFERROR(VLOOKUP(실험지시[[#This Row],[제품명]],BOM_개발품목[[제품명]:[사양]],7,0),"")</f>
        <v>Hytrel (Dupont H7246)</v>
      </c>
      <c r="Q255" s="104" t="str">
        <f>IFERROR(VLOOKUP($A255,[5]실험의뢰_장진영!$A:$M,11,0),"")</f>
        <v/>
      </c>
      <c r="R255" s="104" t="str">
        <f>IFERROR(VLOOKUP($A255,[5]실험의뢰_장진영!$A:$M,12,0),"")</f>
        <v/>
      </c>
      <c r="S255" s="104" t="str">
        <f>IFERROR(VLOOKUP($A255,[5]실험의뢰_장진영!$A:$M,13,0),"")</f>
        <v/>
      </c>
      <c r="T255" s="58"/>
    </row>
    <row r="256" spans="1:20" ht="30" customHeight="1">
      <c r="A256" s="99" t="str">
        <f>실험지시[[#This Row],[품목코드]] &amp; "_" &amp; TEXT(실험지시[[#This Row],[실험지시일자]], "yyyymmdd")</f>
        <v>SI1620_20250929</v>
      </c>
      <c r="B256" t="s">
        <v>940</v>
      </c>
      <c r="C256" s="99" t="str">
        <f>IFERROR(VLOOKUP(실험지시[[#This Row],[제품명]],BOM_개발품목[[제품명]:[사양]],5,0),"")</f>
        <v>M251190_01</v>
      </c>
      <c r="D256" s="112" t="str">
        <f>IFERROR(VLOOKUP(실험지시[[#This Row],[제품명]],BOM_개발품목[[제품명]:[사양]],4,0),"")</f>
        <v>SI1620</v>
      </c>
      <c r="E256" s="1">
        <v>45929</v>
      </c>
      <c r="F256" t="s">
        <v>74</v>
      </c>
      <c r="G256" s="1" t="s">
        <v>499</v>
      </c>
      <c r="H256" t="s">
        <v>1671</v>
      </c>
      <c r="I256" s="3">
        <v>6</v>
      </c>
      <c r="J256" s="46">
        <v>15</v>
      </c>
      <c r="K256" s="74">
        <v>250801</v>
      </c>
      <c r="L256" s="129" t="str">
        <f>실험지시[[#This Row],[금형코드]]</f>
        <v>M251190_01</v>
      </c>
      <c r="M256" s="131" t="str">
        <f>IFERROR(VLOOKUP($A256,[5]실험의뢰_장진영!$A:$M,5,0),"")</f>
        <v/>
      </c>
      <c r="N256" s="104" t="str">
        <f>IFERROR(VLOOKUP($A256,[5]실험의뢰_장진영!$A:$M,4,0),"")</f>
        <v/>
      </c>
      <c r="O256" s="132" t="str">
        <f>IFERROR(VLOOKUP($A256,[5]실험의뢰_장진영!$A:$M,6,0),"")</f>
        <v/>
      </c>
      <c r="P256" s="99" t="str">
        <f>IFERROR(VLOOKUP(실험지시[[#This Row],[제품명]],BOM_개발품목[[제품명]:[사양]],7,0),"")</f>
        <v>ABS (롯데첨단소재 MP-0670)</v>
      </c>
      <c r="Q256" s="104" t="str">
        <f>IFERROR(VLOOKUP($A256,[5]실험의뢰_장진영!$A:$M,11,0),"")</f>
        <v/>
      </c>
      <c r="R256" s="104" t="str">
        <f>IFERROR(VLOOKUP($A256,[5]실험의뢰_장진영!$A:$M,12,0),"")</f>
        <v/>
      </c>
      <c r="S256" s="104" t="str">
        <f>IFERROR(VLOOKUP($A256,[5]실험의뢰_장진영!$A:$M,13,0),"")</f>
        <v/>
      </c>
      <c r="T256" s="58"/>
    </row>
    <row r="257" spans="1:20" ht="30" customHeight="1">
      <c r="A257" s="99" t="str">
        <f>실험지시[[#This Row],[품목코드]] &amp; "_" &amp; TEXT(실험지시[[#This Row],[실험지시일자]], "yyyymmdd")</f>
        <v>SI1640_20250929</v>
      </c>
      <c r="B257" t="s">
        <v>1383</v>
      </c>
      <c r="C257" s="99" t="str">
        <f>IFERROR(VLOOKUP(실험지시[[#This Row],[제품명]],BOM_개발품목[[제품명]:[사양]],5,0),"")</f>
        <v>M251265_01</v>
      </c>
      <c r="D257" s="112" t="str">
        <f>IFERROR(VLOOKUP(실험지시[[#This Row],[제품명]],BOM_개발품목[[제품명]:[사양]],4,0),"")</f>
        <v>SI1640</v>
      </c>
      <c r="E257" s="1">
        <v>45929</v>
      </c>
      <c r="F257" t="s">
        <v>74</v>
      </c>
      <c r="G257" s="1" t="s">
        <v>1446</v>
      </c>
      <c r="H257" t="s">
        <v>1438</v>
      </c>
      <c r="I257" s="3">
        <v>3</v>
      </c>
      <c r="J257" s="46">
        <v>15</v>
      </c>
      <c r="K257" s="74">
        <v>250905</v>
      </c>
      <c r="L257" s="129" t="str">
        <f>실험지시[[#This Row],[금형코드]]</f>
        <v>M251265_01</v>
      </c>
      <c r="M257" s="131" t="str">
        <f>IFERROR(VLOOKUP($A257,[5]실험의뢰_장진영!$A:$M,5,0),"")</f>
        <v/>
      </c>
      <c r="N257" s="104" t="str">
        <f>IFERROR(VLOOKUP($A257,[5]실험의뢰_장진영!$A:$M,4,0),"")</f>
        <v/>
      </c>
      <c r="O257" s="132" t="str">
        <f>IFERROR(VLOOKUP($A257,[5]실험의뢰_장진영!$A:$M,6,0),"")</f>
        <v/>
      </c>
      <c r="P257" s="99" t="str">
        <f>IFERROR(VLOOKUP(실험지시[[#This Row],[제품명]],BOM_개발품목[[제품명]:[사양]],7,0),"")</f>
        <v>POK (효성 M330T)</v>
      </c>
      <c r="Q257" s="104" t="str">
        <f>IFERROR(VLOOKUP($A257,[5]실험의뢰_장진영!$A:$M,11,0),"")</f>
        <v/>
      </c>
      <c r="R257" s="104" t="str">
        <f>IFERROR(VLOOKUP($A257,[5]실험의뢰_장진영!$A:$M,12,0),"")</f>
        <v/>
      </c>
      <c r="S257" s="104" t="str">
        <f>IFERROR(VLOOKUP($A257,[5]실험의뢰_장진영!$A:$M,13,0),"")</f>
        <v/>
      </c>
      <c r="T257" s="58"/>
    </row>
    <row r="258" spans="1:20" ht="30" customHeight="1">
      <c r="A258" s="99" t="str">
        <f>실험지시[[#This Row],[품목코드]] &amp; "_" &amp; TEXT(실험지시[[#This Row],[실험지시일자]], "yyyymmdd")</f>
        <v>SI1638_20250930</v>
      </c>
      <c r="B258" t="s">
        <v>1373</v>
      </c>
      <c r="C258" s="99" t="str">
        <f>IFERROR(VLOOKUP(실험지시[[#This Row],[제품명]],BOM_개발품목[[제품명]:[사양]],5,0),"")</f>
        <v>M251263_01</v>
      </c>
      <c r="D258" s="112" t="str">
        <f>IFERROR(VLOOKUP(실험지시[[#This Row],[제품명]],BOM_개발품목[[제품명]:[사양]],4,0),"")</f>
        <v>SI1638</v>
      </c>
      <c r="E258" s="1">
        <v>45930</v>
      </c>
      <c r="F258" t="s">
        <v>74</v>
      </c>
      <c r="G258" t="s">
        <v>1437</v>
      </c>
      <c r="H258" t="s">
        <v>1438</v>
      </c>
      <c r="I258" s="3">
        <v>3</v>
      </c>
      <c r="J258" s="46">
        <v>15</v>
      </c>
      <c r="K258" s="74">
        <v>250711</v>
      </c>
      <c r="L258" s="129" t="str">
        <f>실험지시[[#This Row],[금형코드]]</f>
        <v>M251263_01</v>
      </c>
      <c r="M258" s="131">
        <v>150</v>
      </c>
      <c r="N258" s="104" t="s">
        <v>1447</v>
      </c>
      <c r="O258" s="132" t="str">
        <f>IFERROR(VLOOKUP($A258,[5]실험의뢰_장진영!$A:$M,6,0),"")</f>
        <v/>
      </c>
      <c r="P258" s="99" t="str">
        <f>IFERROR(VLOOKUP(실험지시[[#This Row],[제품명]],BOM_개발품목[[제품명]:[사양]],7,0),"")</f>
        <v>PCR PP (한화토탈에너지스 PCR RJ570E (CR PCR 100%))</v>
      </c>
      <c r="Q258" s="104" t="str">
        <f>IFERROR(VLOOKUP($A258,[5]실험의뢰_장진영!$A:$M,11,0),"")</f>
        <v/>
      </c>
      <c r="R258" s="104" t="str">
        <f>IFERROR(VLOOKUP($A258,[5]실험의뢰_장진영!$A:$M,12,0),"")</f>
        <v/>
      </c>
      <c r="S258" s="104" t="str">
        <f>IFERROR(VLOOKUP($A258,[5]실험의뢰_장진영!$A:$M,13,0),"")</f>
        <v/>
      </c>
      <c r="T258" s="58"/>
    </row>
    <row r="259" spans="1:20" ht="30" customHeight="1">
      <c r="A259" s="99" t="str">
        <f>실험지시[[#This Row],[품목코드]] &amp; "_" &amp; TEXT(실험지시[[#This Row],[실험지시일자]], "yyyymmdd")</f>
        <v>SI1642_20250930</v>
      </c>
      <c r="B259" t="s">
        <v>1401</v>
      </c>
      <c r="C259" s="99" t="str">
        <f>IFERROR(VLOOKUP(실험지시[[#This Row],[제품명]],BOM_개발품목[[제품명]:[사양]],5,0),"")</f>
        <v>M251267_01</v>
      </c>
      <c r="D259" s="112" t="str">
        <f>IFERROR(VLOOKUP(실험지시[[#This Row],[제품명]],BOM_개발품목[[제품명]:[사양]],4,0),"")</f>
        <v>SI1642</v>
      </c>
      <c r="E259" s="1">
        <v>45930</v>
      </c>
      <c r="F259" t="s">
        <v>74</v>
      </c>
      <c r="G259" t="s">
        <v>1437</v>
      </c>
      <c r="H259" t="s">
        <v>1438</v>
      </c>
      <c r="I259" s="3">
        <v>2.5</v>
      </c>
      <c r="J259" s="46">
        <v>15</v>
      </c>
      <c r="K259" s="74">
        <v>250711</v>
      </c>
      <c r="L259" s="129" t="str">
        <f>실험지시[[#This Row],[금형코드]]</f>
        <v>M251267_01</v>
      </c>
      <c r="M259" s="131">
        <v>200</v>
      </c>
      <c r="N259" s="104" t="s">
        <v>1447</v>
      </c>
      <c r="O259" s="132" t="str">
        <f>IFERROR(VLOOKUP($A259,[5]실험의뢰_장진영!$A:$M,6,0),"")</f>
        <v/>
      </c>
      <c r="P259" s="99" t="str">
        <f>IFERROR(VLOOKUP(실험지시[[#This Row],[제품명]],BOM_개발품목[[제품명]:[사양]],7,0),"")</f>
        <v>PCR PP (한화토탈에너지스 PCR RJ570E (CR PCR 100%))</v>
      </c>
      <c r="Q259" s="104" t="str">
        <f>IFERROR(VLOOKUP($A259,[5]실험의뢰_장진영!$A:$M,11,0),"")</f>
        <v/>
      </c>
      <c r="R259" s="104" t="str">
        <f>IFERROR(VLOOKUP($A259,[5]실험의뢰_장진영!$A:$M,12,0),"")</f>
        <v/>
      </c>
      <c r="S259" s="104" t="str">
        <f>IFERROR(VLOOKUP($A259,[5]실험의뢰_장진영!$A:$M,13,0),"")</f>
        <v/>
      </c>
      <c r="T259" s="58"/>
    </row>
    <row r="260" spans="1:20" ht="30" customHeight="1">
      <c r="A260" s="99" t="str">
        <f>실험지시[[#This Row],[품목코드]] &amp; "_" &amp; TEXT(실험지시[[#This Row],[실험지시일자]], "yyyymmdd")</f>
        <v>SI1637_20251001</v>
      </c>
      <c r="B260" t="s">
        <v>1370</v>
      </c>
      <c r="C260" s="99" t="str">
        <f>IFERROR(VLOOKUP(실험지시[[#This Row],[제품명]],BOM_개발품목[[제품명]:[사양]],5,0),"")</f>
        <v>M251264_01</v>
      </c>
      <c r="D260" s="112" t="str">
        <f>IFERROR(VLOOKUP(실험지시[[#This Row],[제품명]],BOM_개발품목[[제품명]:[사양]],4,0),"")</f>
        <v>SI1637</v>
      </c>
      <c r="E260" s="1">
        <v>45931</v>
      </c>
      <c r="F260" t="s">
        <v>74</v>
      </c>
      <c r="G260" s="1" t="s">
        <v>1372</v>
      </c>
      <c r="H260" t="s">
        <v>1442</v>
      </c>
      <c r="I260" s="3">
        <v>2.5</v>
      </c>
      <c r="J260" s="46">
        <v>4</v>
      </c>
      <c r="K260" s="74">
        <v>250711</v>
      </c>
      <c r="L260" s="129" t="str">
        <f>실험지시[[#This Row],[금형코드]]</f>
        <v>M251264_01</v>
      </c>
      <c r="M260" s="131" t="str">
        <f>IFERROR(VLOOKUP($A260,[5]실험의뢰_장진영!$A:$M,5,0),"")</f>
        <v/>
      </c>
      <c r="N260" s="104" t="str">
        <f>IFERROR(VLOOKUP($A260,[5]실험의뢰_장진영!$A:$M,4,0),"")</f>
        <v/>
      </c>
      <c r="O260" s="132" t="str">
        <f>IFERROR(VLOOKUP($A260,[5]실험의뢰_장진영!$A:$M,6,0),"")</f>
        <v/>
      </c>
      <c r="P260" s="99" t="str">
        <f>IFERROR(VLOOKUP(실험지시[[#This Row],[제품명]],BOM_개발품목[[제품명]:[사양]],7,0),"")</f>
        <v>PMMA (LGMMA IF850)</v>
      </c>
      <c r="Q260" s="104" t="str">
        <f>IFERROR(VLOOKUP($A260,[5]실험의뢰_장진영!$A:$M,11,0),"")</f>
        <v/>
      </c>
      <c r="R260" s="104" t="str">
        <f>IFERROR(VLOOKUP($A260,[5]실험의뢰_장진영!$A:$M,12,0),"")</f>
        <v/>
      </c>
      <c r="S260" s="104" t="str">
        <f>IFERROR(VLOOKUP($A260,[5]실험의뢰_장진영!$A:$M,13,0),"")</f>
        <v/>
      </c>
      <c r="T260" s="58"/>
    </row>
    <row r="261" spans="1:20" ht="30" customHeight="1">
      <c r="A261" s="99" t="str">
        <f>실험지시[[#This Row],[품목코드]] &amp; "_" &amp; TEXT(실험지시[[#This Row],[실험지시일자]], "yyyymmdd")</f>
        <v>SI1643_20251001</v>
      </c>
      <c r="B261" t="s">
        <v>1397</v>
      </c>
      <c r="C261" s="99" t="str">
        <f>IFERROR(VLOOKUP(실험지시[[#This Row],[제품명]],BOM_개발품목[[제품명]:[사양]],5,0),"")</f>
        <v>M251268_01</v>
      </c>
      <c r="D261" s="112" t="str">
        <f>IFERROR(VLOOKUP(실험지시[[#This Row],[제품명]],BOM_개발품목[[제품명]:[사양]],4,0),"")</f>
        <v>SI1643</v>
      </c>
      <c r="E261" s="1">
        <v>45931</v>
      </c>
      <c r="F261" t="s">
        <v>74</v>
      </c>
      <c r="G261" s="1" t="s">
        <v>1372</v>
      </c>
      <c r="H261" t="s">
        <v>1442</v>
      </c>
      <c r="I261" s="3">
        <v>2.5</v>
      </c>
      <c r="J261" s="46">
        <v>4</v>
      </c>
      <c r="K261" s="74">
        <v>250711</v>
      </c>
      <c r="L261" s="129" t="str">
        <f>실험지시[[#This Row],[금형코드]]</f>
        <v>M251268_01</v>
      </c>
      <c r="M261" s="131" t="str">
        <f>IFERROR(VLOOKUP($A261,[5]실험의뢰_장진영!$A:$M,5,0),"")</f>
        <v/>
      </c>
      <c r="N261" s="104" t="str">
        <f>IFERROR(VLOOKUP($A261,[5]실험의뢰_장진영!$A:$M,4,0),"")</f>
        <v/>
      </c>
      <c r="O261" s="132" t="str">
        <f>IFERROR(VLOOKUP($A261,[5]실험의뢰_장진영!$A:$M,6,0),"")</f>
        <v/>
      </c>
      <c r="P261" s="99" t="str">
        <f>IFERROR(VLOOKUP(실험지시[[#This Row],[제품명]],BOM_개발품목[[제품명]:[사양]],7,0),"")</f>
        <v>PMMA (LGMMA IF850)</v>
      </c>
      <c r="Q261" s="104" t="str">
        <f>IFERROR(VLOOKUP($A261,[5]실험의뢰_장진영!$A:$M,11,0),"")</f>
        <v/>
      </c>
      <c r="R261" s="104" t="str">
        <f>IFERROR(VLOOKUP($A261,[5]실험의뢰_장진영!$A:$M,12,0),"")</f>
        <v/>
      </c>
      <c r="S261" s="104" t="str">
        <f>IFERROR(VLOOKUP($A261,[5]실험의뢰_장진영!$A:$M,13,0),"")</f>
        <v/>
      </c>
      <c r="T261" s="58"/>
    </row>
    <row r="262" spans="1:20" ht="30" customHeight="1">
      <c r="A262" s="99" t="str">
        <f>실험지시[[#This Row],[품목코드]] &amp; "_" &amp; TEXT(실험지시[[#This Row],[실험지시일자]], "yyyymmdd")</f>
        <v>SI1652_20251003</v>
      </c>
      <c r="B262" t="s">
        <v>1448</v>
      </c>
      <c r="C262" s="99" t="str">
        <f>IFERROR(VLOOKUP(실험지시[[#This Row],[제품명]],BOM_개발품목[[제품명]:[사양]],5,0),"")</f>
        <v>M251317_01</v>
      </c>
      <c r="D262" s="112" t="str">
        <f>IFERROR(VLOOKUP(실험지시[[#This Row],[제품명]],BOM_개발품목[[제품명]:[사양]],4,0),"")</f>
        <v>SI1652</v>
      </c>
      <c r="E262" s="1">
        <v>45933</v>
      </c>
      <c r="F262" t="s">
        <v>161</v>
      </c>
      <c r="G262" s="1" t="s">
        <v>499</v>
      </c>
      <c r="H262" s="1" t="s">
        <v>1466</v>
      </c>
      <c r="I262" s="3">
        <v>4</v>
      </c>
      <c r="J262" s="46">
        <v>15</v>
      </c>
      <c r="L262" s="129" t="str">
        <f>실험지시[[#This Row],[금형코드]]</f>
        <v>M251317_01</v>
      </c>
      <c r="M262" s="131" t="str">
        <f>IFERROR(VLOOKUP($A262,[5]실험의뢰_장진영!$A:$M,5,0),"")</f>
        <v/>
      </c>
      <c r="N262" s="104" t="str">
        <f>IFERROR(VLOOKUP($A262,[5]실험의뢰_장진영!$A:$M,4,0),"")</f>
        <v/>
      </c>
      <c r="O262" s="132" t="str">
        <f>IFERROR(VLOOKUP($A262,[5]실험의뢰_장진영!$A:$M,6,0),"")</f>
        <v/>
      </c>
      <c r="P262" s="99" t="str">
        <f>IFERROR(VLOOKUP(실험지시[[#This Row],[제품명]],BOM_개발품목[[제품명]:[사양]],7,0),"")</f>
        <v>ABS 0670</v>
      </c>
      <c r="Q262" s="104" t="str">
        <f>IFERROR(VLOOKUP($A262,[5]실험의뢰_장진영!$A:$M,11,0),"")</f>
        <v/>
      </c>
      <c r="R262" s="104" t="str">
        <f>IFERROR(VLOOKUP($A262,[5]실험의뢰_장진영!$A:$M,12,0),"")</f>
        <v/>
      </c>
      <c r="S262" s="104" t="str">
        <f>IFERROR(VLOOKUP($A262,[5]실험의뢰_장진영!$A:$M,13,0),"")</f>
        <v/>
      </c>
      <c r="T262" s="58"/>
    </row>
    <row r="263" spans="1:20" ht="30" customHeight="1">
      <c r="A263" s="99" t="str">
        <f>실험지시[[#This Row],[품목코드]] &amp; "_" &amp; TEXT(실험지시[[#This Row],[실험지시일자]], "yyyymmdd")</f>
        <v>SI1653_20251003</v>
      </c>
      <c r="B263" t="s">
        <v>1459</v>
      </c>
      <c r="C263" s="99" t="str">
        <f>IFERROR(VLOOKUP(실험지시[[#This Row],[제품명]],BOM_개발품목[[제품명]:[사양]],5,0),"")</f>
        <v>M251318_01</v>
      </c>
      <c r="D263" s="112" t="str">
        <f>IFERROR(VLOOKUP(실험지시[[#This Row],[제품명]],BOM_개발품목[[제품명]:[사양]],4,0),"")</f>
        <v>SI1653</v>
      </c>
      <c r="E263" s="1">
        <v>45933</v>
      </c>
      <c r="F263" t="s">
        <v>161</v>
      </c>
      <c r="G263" s="1" t="s">
        <v>499</v>
      </c>
      <c r="I263" s="3"/>
      <c r="J263" s="46">
        <v>15</v>
      </c>
      <c r="L263" s="129" t="str">
        <f>실험지시[[#This Row],[금형코드]]</f>
        <v>M251318_01</v>
      </c>
      <c r="M263" s="131" t="str">
        <f>IFERROR(VLOOKUP($A263,[5]실험의뢰_장진영!$A:$M,5,0),"")</f>
        <v/>
      </c>
      <c r="N263" s="104" t="str">
        <f>IFERROR(VLOOKUP($A263,[5]실험의뢰_장진영!$A:$M,4,0),"")</f>
        <v/>
      </c>
      <c r="O263" s="132" t="str">
        <f>IFERROR(VLOOKUP($A263,[5]실험의뢰_장진영!$A:$M,6,0),"")</f>
        <v/>
      </c>
      <c r="P263" s="99" t="str">
        <f>IFERROR(VLOOKUP(실험지시[[#This Row],[제품명]],BOM_개발품목[[제품명]:[사양]],7,0),"")</f>
        <v>ABS 0670</v>
      </c>
      <c r="Q263" s="104" t="str">
        <f>IFERROR(VLOOKUP($A263,[5]실험의뢰_장진영!$A:$M,11,0),"")</f>
        <v/>
      </c>
      <c r="R263" s="104" t="str">
        <f>IFERROR(VLOOKUP($A263,[5]실험의뢰_장진영!$A:$M,12,0),"")</f>
        <v/>
      </c>
      <c r="S263" s="104" t="str">
        <f>IFERROR(VLOOKUP($A263,[5]실험의뢰_장진영!$A:$M,13,0),"")</f>
        <v/>
      </c>
      <c r="T263" s="58"/>
    </row>
    <row r="264" spans="1:20" ht="30" customHeight="1">
      <c r="A264" s="99" t="str">
        <f>실험지시[[#This Row],[품목코드]] &amp; "_" &amp; TEXT(실험지시[[#This Row],[실험지시일자]], "yyyymmdd")</f>
        <v>SI1654_20251014</v>
      </c>
      <c r="B264" t="s">
        <v>1460</v>
      </c>
      <c r="C264" s="99" t="str">
        <f>IFERROR(VLOOKUP(실험지시[[#This Row],[제품명]],BOM_개발품목[[제품명]:[사양]],5,0),"")</f>
        <v>M251319_01</v>
      </c>
      <c r="D264" s="112" t="str">
        <f>IFERROR(VLOOKUP(실험지시[[#This Row],[제품명]],BOM_개발품목[[제품명]:[사양]],4,0),"")</f>
        <v>SI1654</v>
      </c>
      <c r="E264" s="1">
        <v>45944</v>
      </c>
      <c r="F264" t="s">
        <v>161</v>
      </c>
      <c r="G264" s="1" t="s">
        <v>1465</v>
      </c>
      <c r="H264" t="s">
        <v>458</v>
      </c>
      <c r="I264" s="3">
        <v>6</v>
      </c>
      <c r="J264" s="46">
        <v>14</v>
      </c>
      <c r="L264" s="129" t="str">
        <f>실험지시[[#This Row],[금형코드]]</f>
        <v>M251319_01</v>
      </c>
      <c r="M264" s="131" t="str">
        <f>IFERROR(VLOOKUP($A264,[5]실험의뢰_장진영!$A:$M,5,0),"")</f>
        <v/>
      </c>
      <c r="N264" s="104" t="str">
        <f>IFERROR(VLOOKUP($A264,[5]실험의뢰_장진영!$A:$M,4,0),"")</f>
        <v/>
      </c>
      <c r="O264" s="132" t="str">
        <f>IFERROR(VLOOKUP($A264,[5]실험의뢰_장진영!$A:$M,6,0),"")</f>
        <v/>
      </c>
      <c r="P264" s="99" t="str">
        <f>IFERROR(VLOOKUP(실험지시[[#This Row],[제품명]],BOM_개발품목[[제품명]:[사양]],7,0),"")</f>
        <v>PP 4017</v>
      </c>
      <c r="Q264" s="104" t="str">
        <f>IFERROR(VLOOKUP($A264,[5]실험의뢰_장진영!$A:$M,11,0),"")</f>
        <v/>
      </c>
      <c r="R264" s="104" t="str">
        <f>IFERROR(VLOOKUP($A264,[5]실험의뢰_장진영!$A:$M,12,0),"")</f>
        <v/>
      </c>
      <c r="S264" s="104" t="str">
        <f>IFERROR(VLOOKUP($A264,[5]실험의뢰_장진영!$A:$M,13,0),"")</f>
        <v/>
      </c>
      <c r="T264" s="58"/>
    </row>
    <row r="265" spans="1:20" ht="30" customHeight="1">
      <c r="A265" s="99" t="str">
        <f>실험지시[[#This Row],[품목코드]] &amp; "_" &amp; TEXT(실험지시[[#This Row],[실험지시일자]], "yyyymmdd")</f>
        <v>SI1638_20251014</v>
      </c>
      <c r="B265" t="s">
        <v>1373</v>
      </c>
      <c r="C265" s="99" t="str">
        <f>IFERROR(VLOOKUP(실험지시[[#This Row],[제품명]],BOM_개발품목[[제품명]:[사양]],5,0),"")</f>
        <v>M251263_01</v>
      </c>
      <c r="D265" s="112" t="str">
        <f>IFERROR(VLOOKUP(실험지시[[#This Row],[제품명]],BOM_개발품목[[제품명]:[사양]],4,0),"")</f>
        <v>SI1638</v>
      </c>
      <c r="E265" s="1">
        <v>45944</v>
      </c>
      <c r="F265" t="s">
        <v>161</v>
      </c>
      <c r="G265" t="s">
        <v>1437</v>
      </c>
      <c r="H265" t="s">
        <v>1438</v>
      </c>
      <c r="I265" s="3">
        <v>3</v>
      </c>
      <c r="J265" s="46">
        <v>14</v>
      </c>
      <c r="K265" s="74">
        <v>250711</v>
      </c>
      <c r="L265" s="129" t="str">
        <f>실험지시[[#This Row],[금형코드]]</f>
        <v>M251263_01</v>
      </c>
      <c r="M265" s="131" t="str">
        <f>IFERROR(VLOOKUP($A265,[5]실험의뢰_장진영!$A:$M,5,0),"")</f>
        <v/>
      </c>
      <c r="N265" s="104" t="str">
        <f>IFERROR(VLOOKUP($A265,[5]실험의뢰_장진영!$A:$M,4,0),"")</f>
        <v/>
      </c>
      <c r="O265" s="132" t="str">
        <f>IFERROR(VLOOKUP($A265,[5]실험의뢰_장진영!$A:$M,6,0),"")</f>
        <v/>
      </c>
      <c r="P265" s="99" t="str">
        <f>IFERROR(VLOOKUP(실험지시[[#This Row],[제품명]],BOM_개발품목[[제품명]:[사양]],7,0),"")</f>
        <v>PCR PP (한화토탈에너지스 PCR RJ570E (CR PCR 100%))</v>
      </c>
      <c r="Q265" s="104" t="str">
        <f>IFERROR(VLOOKUP($A265,[5]실험의뢰_장진영!$A:$M,11,0),"")</f>
        <v/>
      </c>
      <c r="R265" s="104" t="str">
        <f>IFERROR(VLOOKUP($A265,[5]실험의뢰_장진영!$A:$M,12,0),"")</f>
        <v/>
      </c>
      <c r="S265" s="104" t="str">
        <f>IFERROR(VLOOKUP($A265,[5]실험의뢰_장진영!$A:$M,13,0),"")</f>
        <v/>
      </c>
      <c r="T265" s="58"/>
    </row>
    <row r="266" spans="1:20" ht="30" customHeight="1">
      <c r="A266" s="99" t="str">
        <f>실험지시[[#This Row],[품목코드]] &amp; "_" &amp; TEXT(실험지시[[#This Row],[실험지시일자]], "yyyymmdd")</f>
        <v>SI1640_20251014</v>
      </c>
      <c r="B266" t="s">
        <v>1383</v>
      </c>
      <c r="C266" s="99" t="str">
        <f>IFERROR(VLOOKUP(실험지시[[#This Row],[제품명]],BOM_개발품목[[제품명]:[사양]],5,0),"")</f>
        <v>M251265_01</v>
      </c>
      <c r="D266" s="112" t="str">
        <f>IFERROR(VLOOKUP(실험지시[[#This Row],[제품명]],BOM_개발품목[[제품명]:[사양]],4,0),"")</f>
        <v>SI1640</v>
      </c>
      <c r="E266" s="1">
        <v>45944</v>
      </c>
      <c r="F266" t="s">
        <v>74</v>
      </c>
      <c r="G266" t="s">
        <v>1437</v>
      </c>
      <c r="H266" t="s">
        <v>1438</v>
      </c>
      <c r="I266" s="3">
        <v>3</v>
      </c>
      <c r="J266" s="46">
        <v>14</v>
      </c>
      <c r="K266" s="74">
        <v>250905</v>
      </c>
      <c r="L266" s="129" t="str">
        <f>실험지시[[#This Row],[금형코드]]</f>
        <v>M251265_01</v>
      </c>
      <c r="M266" s="131" t="str">
        <f>IFERROR(VLOOKUP($A266,[5]실험의뢰_장진영!$A:$M,5,0),"")</f>
        <v/>
      </c>
      <c r="N266" s="104" t="str">
        <f>IFERROR(VLOOKUP($A266,[5]실험의뢰_장진영!$A:$M,4,0),"")</f>
        <v/>
      </c>
      <c r="O266" s="132" t="str">
        <f>IFERROR(VLOOKUP($A266,[5]실험의뢰_장진영!$A:$M,6,0),"")</f>
        <v/>
      </c>
      <c r="P266" s="99" t="str">
        <f>IFERROR(VLOOKUP(실험지시[[#This Row],[제품명]],BOM_개발품목[[제품명]:[사양]],7,0),"")</f>
        <v>POK (효성 M330T)</v>
      </c>
      <c r="Q266" s="104" t="str">
        <f>IFERROR(VLOOKUP($A266,[5]실험의뢰_장진영!$A:$M,11,0),"")</f>
        <v/>
      </c>
      <c r="R266" s="104" t="str">
        <f>IFERROR(VLOOKUP($A266,[5]실험의뢰_장진영!$A:$M,12,0),"")</f>
        <v/>
      </c>
      <c r="S266" s="104" t="str">
        <f>IFERROR(VLOOKUP($A266,[5]실험의뢰_장진영!$A:$M,13,0),"")</f>
        <v/>
      </c>
      <c r="T266" s="58"/>
    </row>
    <row r="267" spans="1:20" ht="30" customHeight="1">
      <c r="A267" s="99" t="str">
        <f>실험지시[[#This Row],[품목코드]] &amp; "_" &amp; TEXT(실험지시[[#This Row],[실험지시일자]], "yyyymmdd")</f>
        <v>SI1653_20251015</v>
      </c>
      <c r="B267" t="s">
        <v>1459</v>
      </c>
      <c r="C267" s="99" t="str">
        <f>IFERROR(VLOOKUP(실험지시[[#This Row],[제품명]],BOM_개발품목[[제품명]:[사양]],5,0),"")</f>
        <v>M251318_01</v>
      </c>
      <c r="D267" s="112" t="str">
        <f>IFERROR(VLOOKUP(실험지시[[#This Row],[제품명]],BOM_개발품목[[제품명]:[사양]],4,0),"")</f>
        <v>SI1653</v>
      </c>
      <c r="E267" s="1">
        <v>45945</v>
      </c>
      <c r="F267" t="s">
        <v>161</v>
      </c>
      <c r="G267" s="1" t="s">
        <v>499</v>
      </c>
      <c r="I267" s="3"/>
      <c r="J267" s="46">
        <v>14</v>
      </c>
      <c r="L267" s="129" t="str">
        <f>실험지시[[#This Row],[금형코드]]</f>
        <v>M251318_01</v>
      </c>
      <c r="M267" s="131" t="str">
        <f>IFERROR(VLOOKUP($A267,[5]실험의뢰_장진영!$A:$M,5,0),"")</f>
        <v/>
      </c>
      <c r="N267" s="104" t="str">
        <f>IFERROR(VLOOKUP($A267,[5]실험의뢰_장진영!$A:$M,4,0),"")</f>
        <v/>
      </c>
      <c r="O267" s="132" t="str">
        <f>IFERROR(VLOOKUP($A267,[5]실험의뢰_장진영!$A:$M,6,0),"")</f>
        <v/>
      </c>
      <c r="P267" s="99" t="str">
        <f>IFERROR(VLOOKUP(실험지시[[#This Row],[제품명]],BOM_개발품목[[제품명]:[사양]],7,0),"")</f>
        <v>ABS 0670</v>
      </c>
      <c r="Q267" s="104" t="str">
        <f>IFERROR(VLOOKUP($A267,[5]실험의뢰_장진영!$A:$M,11,0),"")</f>
        <v/>
      </c>
      <c r="R267" s="104" t="str">
        <f>IFERROR(VLOOKUP($A267,[5]실험의뢰_장진영!$A:$M,12,0),"")</f>
        <v/>
      </c>
      <c r="S267" s="104" t="str">
        <f>IFERROR(VLOOKUP($A267,[5]실험의뢰_장진영!$A:$M,13,0),"")</f>
        <v/>
      </c>
      <c r="T267" s="58"/>
    </row>
    <row r="268" spans="1:20" ht="30" customHeight="1">
      <c r="A268" s="99" t="str">
        <f>실험지시[[#This Row],[품목코드]] &amp; "_" &amp; TEXT(실험지시[[#This Row],[실험지시일자]], "yyyymmdd")</f>
        <v>SI1640_20251017</v>
      </c>
      <c r="B268" t="s">
        <v>1383</v>
      </c>
      <c r="C268" s="99" t="str">
        <f>IFERROR(VLOOKUP(실험지시[[#This Row],[제품명]],BOM_개발품목[[제품명]:[사양]],5,0),"")</f>
        <v>M251265_01</v>
      </c>
      <c r="D268" s="112" t="str">
        <f>IFERROR(VLOOKUP(실험지시[[#This Row],[제품명]],BOM_개발품목[[제품명]:[사양]],4,0),"")</f>
        <v>SI1640</v>
      </c>
      <c r="E268" s="1">
        <v>45947</v>
      </c>
      <c r="F268" t="s">
        <v>161</v>
      </c>
      <c r="G268" t="s">
        <v>1437</v>
      </c>
      <c r="H268" t="s">
        <v>1438</v>
      </c>
      <c r="I268" s="3">
        <v>3</v>
      </c>
      <c r="J268" s="46">
        <v>14</v>
      </c>
      <c r="K268" s="74">
        <v>250905</v>
      </c>
      <c r="L268" s="129" t="str">
        <f>실험지시[[#This Row],[금형코드]]</f>
        <v>M251265_01</v>
      </c>
      <c r="M268" s="131" t="str">
        <f>IFERROR(VLOOKUP($A268,[5]실험의뢰_장진영!$A:$M,5,0),"")</f>
        <v/>
      </c>
      <c r="N268" s="104" t="str">
        <f>IFERROR(VLOOKUP($A268,[5]실험의뢰_장진영!$A:$M,4,0),"")</f>
        <v/>
      </c>
      <c r="O268" s="132" t="str">
        <f>IFERROR(VLOOKUP($A268,[5]실험의뢰_장진영!$A:$M,6,0),"")</f>
        <v/>
      </c>
      <c r="P268" s="99" t="str">
        <f>IFERROR(VLOOKUP(실험지시[[#This Row],[제품명]],BOM_개발품목[[제품명]:[사양]],7,0),"")</f>
        <v>POK (효성 M330T)</v>
      </c>
      <c r="Q268" s="104" t="str">
        <f>IFERROR(VLOOKUP($A268,[5]실험의뢰_장진영!$A:$M,11,0),"")</f>
        <v/>
      </c>
      <c r="R268" s="104" t="str">
        <f>IFERROR(VLOOKUP($A268,[5]실험의뢰_장진영!$A:$M,12,0),"")</f>
        <v/>
      </c>
      <c r="S268" s="104" t="str">
        <f>IFERROR(VLOOKUP($A268,[5]실험의뢰_장진영!$A:$M,13,0),"")</f>
        <v/>
      </c>
      <c r="T268" s="58"/>
    </row>
    <row r="269" spans="1:20" ht="30" customHeight="1">
      <c r="A269" s="99" t="str">
        <f>실험지시[[#This Row],[품목코드]] &amp; "_" &amp; TEXT(실험지시[[#This Row],[실험지시일자]], "yyyymmdd")</f>
        <v>SI1655_20251016</v>
      </c>
      <c r="B269" t="s">
        <v>1467</v>
      </c>
      <c r="C269" s="99" t="str">
        <f>IFERROR(VLOOKUP(실험지시[[#This Row],[제품명]],BOM_개발품목[[제품명]:[사양]],5,0),"")</f>
        <v>M241115_01</v>
      </c>
      <c r="D269" s="112" t="str">
        <f>IFERROR(VLOOKUP(실험지시[[#This Row],[제품명]],BOM_개발품목[[제품명]:[사양]],4,0),"")</f>
        <v>SI1655</v>
      </c>
      <c r="E269" s="1">
        <v>45946</v>
      </c>
      <c r="F269" t="s">
        <v>161</v>
      </c>
      <c r="G269" s="1" t="s">
        <v>499</v>
      </c>
      <c r="H269" s="1" t="s">
        <v>1466</v>
      </c>
      <c r="I269" s="3">
        <v>4</v>
      </c>
      <c r="J269" s="46">
        <v>14</v>
      </c>
      <c r="L269" s="129" t="str">
        <f>실험지시[[#This Row],[금형코드]]</f>
        <v>M241115_01</v>
      </c>
      <c r="M269" s="131" t="str">
        <f>IFERROR(VLOOKUP($A269,[5]실험의뢰_장진영!$A:$M,5,0),"")</f>
        <v/>
      </c>
      <c r="N269" s="104" t="str">
        <f>IFERROR(VLOOKUP($A269,[5]실험의뢰_장진영!$A:$M,4,0),"")</f>
        <v/>
      </c>
      <c r="O269" s="132" t="str">
        <f>IFERROR(VLOOKUP($A269,[5]실험의뢰_장진영!$A:$M,6,0),"")</f>
        <v/>
      </c>
      <c r="P269" s="99" t="str">
        <f>IFERROR(VLOOKUP(실험지시[[#This Row],[제품명]],BOM_개발품목[[제품명]:[사양]],7,0),"")</f>
        <v>ABS</v>
      </c>
      <c r="Q269" s="104" t="str">
        <f>IFERROR(VLOOKUP($A269,[5]실험의뢰_장진영!$A:$M,11,0),"")</f>
        <v/>
      </c>
      <c r="R269" s="104" t="str">
        <f>IFERROR(VLOOKUP($A269,[5]실험의뢰_장진영!$A:$M,12,0),"")</f>
        <v/>
      </c>
      <c r="S269" s="104" t="str">
        <f>IFERROR(VLOOKUP($A269,[5]실험의뢰_장진영!$A:$M,13,0),"")</f>
        <v/>
      </c>
      <c r="T269" s="58"/>
    </row>
    <row r="270" spans="1:20" ht="30" customHeight="1">
      <c r="A270" s="99" t="str">
        <f>실험지시[[#This Row],[품목코드]] &amp; "_" &amp; TEXT(실험지시[[#This Row],[실험지시일자]], "yyyymmdd")</f>
        <v>SI1652_20251020</v>
      </c>
      <c r="B270" t="s">
        <v>1448</v>
      </c>
      <c r="C270" s="99" t="str">
        <f>IFERROR(VLOOKUP(실험지시[[#This Row],[제품명]],BOM_개발품목[[제품명]:[사양]],5,0),"")</f>
        <v>M251317_01</v>
      </c>
      <c r="D270" s="112" t="str">
        <f>IFERROR(VLOOKUP(실험지시[[#This Row],[제품명]],BOM_개발품목[[제품명]:[사양]],4,0),"")</f>
        <v>SI1652</v>
      </c>
      <c r="E270" s="1">
        <v>45950</v>
      </c>
      <c r="F270" t="s">
        <v>74</v>
      </c>
      <c r="G270" s="1" t="s">
        <v>499</v>
      </c>
      <c r="H270" s="1" t="s">
        <v>1466</v>
      </c>
      <c r="I270" s="3">
        <v>4</v>
      </c>
      <c r="J270" s="46">
        <v>14</v>
      </c>
      <c r="L270" s="129" t="str">
        <f>실험지시[[#This Row],[금형코드]]</f>
        <v>M251317_01</v>
      </c>
      <c r="M270" s="131" t="str">
        <f>IFERROR(VLOOKUP($A270,[5]실험의뢰_장진영!$A:$M,5,0),"")</f>
        <v/>
      </c>
      <c r="N270" s="104" t="str">
        <f>IFERROR(VLOOKUP($A270,[5]실험의뢰_장진영!$A:$M,4,0),"")</f>
        <v/>
      </c>
      <c r="O270" s="132" t="str">
        <f>IFERROR(VLOOKUP($A270,[5]실험의뢰_장진영!$A:$M,6,0),"")</f>
        <v/>
      </c>
      <c r="P270" s="99" t="str">
        <f>IFERROR(VLOOKUP(실험지시[[#This Row],[제품명]],BOM_개발품목[[제품명]:[사양]],7,0),"")</f>
        <v>ABS 0670</v>
      </c>
      <c r="Q270" s="104" t="str">
        <f>IFERROR(VLOOKUP($A270,[5]실험의뢰_장진영!$A:$M,11,0),"")</f>
        <v/>
      </c>
      <c r="R270" s="104" t="str">
        <f>IFERROR(VLOOKUP($A270,[5]실험의뢰_장진영!$A:$M,12,0),"")</f>
        <v/>
      </c>
      <c r="S270" s="104" t="str">
        <f>IFERROR(VLOOKUP($A270,[5]실험의뢰_장진영!$A:$M,13,0),"")</f>
        <v/>
      </c>
      <c r="T270" s="58"/>
    </row>
    <row r="271" spans="1:20" ht="30" customHeight="1">
      <c r="A271" s="99" t="str">
        <f>실험지시[[#This Row],[품목코드]] &amp; "_" &amp; TEXT(실험지시[[#This Row],[실험지시일자]], "yyyymmdd")</f>
        <v>SI1643_20251023</v>
      </c>
      <c r="B271" t="s">
        <v>1397</v>
      </c>
      <c r="C271" s="99" t="str">
        <f>IFERROR(VLOOKUP(실험지시[[#This Row],[제품명]],BOM_개발품목[[제품명]:[사양]],5,0),"")</f>
        <v>M251268_01</v>
      </c>
      <c r="D271" s="112" t="str">
        <f>IFERROR(VLOOKUP(실험지시[[#This Row],[제품명]],BOM_개발품목[[제품명]:[사양]],4,0),"")</f>
        <v>SI1643</v>
      </c>
      <c r="E271" s="1">
        <v>45953</v>
      </c>
      <c r="F271" t="s">
        <v>74</v>
      </c>
      <c r="G271" s="1" t="s">
        <v>1372</v>
      </c>
      <c r="H271" t="s">
        <v>1442</v>
      </c>
      <c r="I271" s="3">
        <v>2.5</v>
      </c>
      <c r="J271" s="46">
        <v>12</v>
      </c>
      <c r="L271" s="129" t="str">
        <f>실험지시[[#This Row],[금형코드]]</f>
        <v>M251268_01</v>
      </c>
      <c r="M271" s="131" t="str">
        <f>IFERROR(VLOOKUP($A271,[5]실험의뢰_장진영!$A:$M,5,0),"")</f>
        <v/>
      </c>
      <c r="N271" s="104" t="str">
        <f>IFERROR(VLOOKUP($A271,[5]실험의뢰_장진영!$A:$M,4,0),"")</f>
        <v/>
      </c>
      <c r="O271" s="132" t="str">
        <f>IFERROR(VLOOKUP($A271,[5]실험의뢰_장진영!$A:$M,6,0),"")</f>
        <v/>
      </c>
      <c r="P271" s="99" t="str">
        <f>IFERROR(VLOOKUP(실험지시[[#This Row],[제품명]],BOM_개발품목[[제품명]:[사양]],7,0),"")</f>
        <v>PMMA (LGMMA IF850)</v>
      </c>
      <c r="Q271" s="104" t="str">
        <f>IFERROR(VLOOKUP($A271,[5]실험의뢰_장진영!$A:$M,11,0),"")</f>
        <v/>
      </c>
      <c r="R271" s="104" t="str">
        <f>IFERROR(VLOOKUP($A271,[5]실험의뢰_장진영!$A:$M,12,0),"")</f>
        <v/>
      </c>
      <c r="S271" s="104" t="str">
        <f>IFERROR(VLOOKUP($A271,[5]실험의뢰_장진영!$A:$M,13,0),"")</f>
        <v/>
      </c>
      <c r="T271" s="58"/>
    </row>
    <row r="272" spans="1:20" ht="30" customHeight="1">
      <c r="A272" s="99" t="str">
        <f>실험지시[[#This Row],[품목코드]] &amp; "_" &amp; TEXT(실험지시[[#This Row],[실험지시일자]], "yyyymmdd")</f>
        <v>SI1641_20251023</v>
      </c>
      <c r="B272" t="s">
        <v>1390</v>
      </c>
      <c r="C272" s="99" t="str">
        <f>IFERROR(VLOOKUP(실험지시[[#This Row],[제품명]],BOM_개발품목[[제품명]:[사양]],5,0),"")</f>
        <v>M251266_01</v>
      </c>
      <c r="D272" s="112" t="str">
        <f>IFERROR(VLOOKUP(실험지시[[#This Row],[제품명]],BOM_개발품목[[제품명]:[사양]],4,0),"")</f>
        <v>SI1641</v>
      </c>
      <c r="E272" s="1">
        <v>45953</v>
      </c>
      <c r="F272" t="s">
        <v>161</v>
      </c>
      <c r="G272" s="1" t="s">
        <v>157</v>
      </c>
      <c r="H272" t="s">
        <v>1438</v>
      </c>
      <c r="I272" s="3">
        <v>3</v>
      </c>
      <c r="J272" s="46">
        <v>14</v>
      </c>
      <c r="K272" s="74">
        <v>250905</v>
      </c>
      <c r="L272" s="129" t="str">
        <f>실험지시[[#This Row],[금형코드]]</f>
        <v>M251266_01</v>
      </c>
      <c r="M272" s="131" t="str">
        <f>IFERROR(VLOOKUP($A272,[5]실험의뢰_장진영!$A:$M,5,0),"")</f>
        <v/>
      </c>
      <c r="N272" s="104" t="str">
        <f>IFERROR(VLOOKUP($A272,[5]실험의뢰_장진영!$A:$M,4,0),"")</f>
        <v/>
      </c>
      <c r="O272" s="132" t="str">
        <f>IFERROR(VLOOKUP($A272,[5]실험의뢰_장진영!$A:$M,6,0),"")</f>
        <v/>
      </c>
      <c r="P272" s="99" t="str">
        <f>IFERROR(VLOOKUP(실험지시[[#This Row],[제품명]],BOM_개발품목[[제품명]:[사양]],7,0),"")</f>
        <v>PP (롯데케미칼 J-560S)</v>
      </c>
      <c r="Q272" s="104" t="str">
        <f>IFERROR(VLOOKUP($A272,[5]실험의뢰_장진영!$A:$M,11,0),"")</f>
        <v/>
      </c>
      <c r="R272" s="104" t="str">
        <f>IFERROR(VLOOKUP($A272,[5]실험의뢰_장진영!$A:$M,12,0),"")</f>
        <v/>
      </c>
      <c r="S272" s="104" t="str">
        <f>IFERROR(VLOOKUP($A272,[5]실험의뢰_장진영!$A:$M,13,0),"")</f>
        <v/>
      </c>
      <c r="T272" s="58"/>
    </row>
    <row r="273" spans="1:20" ht="30" customHeight="1">
      <c r="A273" s="99" t="str">
        <f>실험지시[[#This Row],[품목코드]] &amp; "_" &amp; TEXT(실험지시[[#This Row],[실험지시일자]], "yyyymmdd")</f>
        <v>SI1642_20251023</v>
      </c>
      <c r="B273" t="s">
        <v>1401</v>
      </c>
      <c r="C273" s="99" t="str">
        <f>IFERROR(VLOOKUP(실험지시[[#This Row],[제품명]],BOM_개발품목[[제품명]:[사양]],5,0),"")</f>
        <v>M251267_01</v>
      </c>
      <c r="D273" s="112" t="str">
        <f>IFERROR(VLOOKUP(실험지시[[#This Row],[제품명]],BOM_개발품목[[제품명]:[사양]],4,0),"")</f>
        <v>SI1642</v>
      </c>
      <c r="E273" s="1">
        <v>45953</v>
      </c>
      <c r="F273" t="s">
        <v>161</v>
      </c>
      <c r="G273" t="s">
        <v>1437</v>
      </c>
      <c r="H273" t="s">
        <v>1438</v>
      </c>
      <c r="I273" s="3">
        <v>2.5</v>
      </c>
      <c r="J273" s="46">
        <v>14</v>
      </c>
      <c r="K273" s="74">
        <v>251027</v>
      </c>
      <c r="L273" s="129" t="str">
        <f>실험지시[[#This Row],[금형코드]]</f>
        <v>M251267_01</v>
      </c>
      <c r="M273" s="131" t="str">
        <f>IFERROR(VLOOKUP($A273,[5]실험의뢰_장진영!$A:$M,5,0),"")</f>
        <v/>
      </c>
      <c r="N273" s="104" t="str">
        <f>IFERROR(VLOOKUP($A273,[5]실험의뢰_장진영!$A:$M,4,0),"")</f>
        <v/>
      </c>
      <c r="O273" s="132" t="str">
        <f>IFERROR(VLOOKUP($A273,[5]실험의뢰_장진영!$A:$M,6,0),"")</f>
        <v/>
      </c>
      <c r="P273" s="99" t="str">
        <f>IFERROR(VLOOKUP(실험지시[[#This Row],[제품명]],BOM_개발품목[[제품명]:[사양]],7,0),"")</f>
        <v>PCR PP (한화토탈에너지스 PCR RJ570E (CR PCR 100%))</v>
      </c>
      <c r="Q273" s="104" t="str">
        <f>IFERROR(VLOOKUP($A273,[5]실험의뢰_장진영!$A:$M,11,0),"")</f>
        <v/>
      </c>
      <c r="R273" s="104" t="str">
        <f>IFERROR(VLOOKUP($A273,[5]실험의뢰_장진영!$A:$M,12,0),"")</f>
        <v/>
      </c>
      <c r="S273" s="104" t="str">
        <f>IFERROR(VLOOKUP($A273,[5]실험의뢰_장진영!$A:$M,13,0),"")</f>
        <v/>
      </c>
      <c r="T273" s="58"/>
    </row>
    <row r="274" spans="1:20" ht="30" customHeight="1">
      <c r="A274" s="99" t="str">
        <f>실험지시[[#This Row],[품목코드]] &amp; "_" &amp; TEXT(실험지시[[#This Row],[실험지시일자]], "yyyymmdd")</f>
        <v>SI1638_20251027</v>
      </c>
      <c r="B274" t="s">
        <v>1373</v>
      </c>
      <c r="C274" s="99" t="str">
        <f>IFERROR(VLOOKUP(실험지시[[#This Row],[제품명]],BOM_개발품목[[제품명]:[사양]],5,0),"")</f>
        <v>M251263_01</v>
      </c>
      <c r="D274" s="112" t="str">
        <f>IFERROR(VLOOKUP(실험지시[[#This Row],[제품명]],BOM_개발품목[[제품명]:[사양]],4,0),"")</f>
        <v>SI1638</v>
      </c>
      <c r="E274" s="1">
        <v>45957</v>
      </c>
      <c r="F274" t="s">
        <v>74</v>
      </c>
      <c r="G274" t="s">
        <v>1437</v>
      </c>
      <c r="H274" t="s">
        <v>1438</v>
      </c>
      <c r="I274" s="3">
        <v>3</v>
      </c>
      <c r="J274" s="46">
        <v>14</v>
      </c>
      <c r="K274" s="74">
        <v>251022</v>
      </c>
      <c r="L274" s="129" t="str">
        <f>실험지시[[#This Row],[금형코드]]</f>
        <v>M251263_01</v>
      </c>
      <c r="M274" s="131" t="str">
        <f>IFERROR(VLOOKUP($A274,[5]실험의뢰_장진영!$A:$M,5,0),"")</f>
        <v/>
      </c>
      <c r="N274" s="104" t="str">
        <f>IFERROR(VLOOKUP($A274,[5]실험의뢰_장진영!$A:$M,4,0),"")</f>
        <v/>
      </c>
      <c r="O274" s="132" t="str">
        <f>IFERROR(VLOOKUP($A274,[5]실험의뢰_장진영!$A:$M,6,0),"")</f>
        <v/>
      </c>
      <c r="P274" s="99" t="str">
        <f>IFERROR(VLOOKUP(실험지시[[#This Row],[제품명]],BOM_개발품목[[제품명]:[사양]],7,0),"")</f>
        <v>PCR PP (한화토탈에너지스 PCR RJ570E (CR PCR 100%))</v>
      </c>
      <c r="Q274" s="104" t="str">
        <f>IFERROR(VLOOKUP($A274,[5]실험의뢰_장진영!$A:$M,11,0),"")</f>
        <v/>
      </c>
      <c r="R274" s="104" t="str">
        <f>IFERROR(VLOOKUP($A274,[5]실험의뢰_장진영!$A:$M,12,0),"")</f>
        <v/>
      </c>
      <c r="S274" s="104" t="str">
        <f>IFERROR(VLOOKUP($A274,[5]실험의뢰_장진영!$A:$M,13,0),"")</f>
        <v/>
      </c>
      <c r="T274" s="58"/>
    </row>
    <row r="275" spans="1:20" ht="30" customHeight="1">
      <c r="A275" s="99" t="str">
        <f>실험지시[[#This Row],[품목코드]] &amp; "_" &amp; TEXT(실험지시[[#This Row],[실험지시일자]], "yyyymmdd")</f>
        <v>SI1637_20251028</v>
      </c>
      <c r="B275" t="s">
        <v>1370</v>
      </c>
      <c r="C275" s="99" t="str">
        <f>IFERROR(VLOOKUP(실험지시[[#This Row],[제품명]],BOM_개발품목[[제품명]:[사양]],5,0),"")</f>
        <v>M251264_01</v>
      </c>
      <c r="D275" s="112" t="str">
        <f>IFERROR(VLOOKUP(실험지시[[#This Row],[제품명]],BOM_개발품목[[제품명]:[사양]],4,0),"")</f>
        <v>SI1637</v>
      </c>
      <c r="E275" s="1">
        <v>45958</v>
      </c>
      <c r="F275" t="s">
        <v>74</v>
      </c>
      <c r="G275" s="1" t="s">
        <v>1372</v>
      </c>
      <c r="H275" t="s">
        <v>1442</v>
      </c>
      <c r="I275" s="3">
        <v>2.5</v>
      </c>
      <c r="J275" s="46">
        <v>12</v>
      </c>
      <c r="K275" s="74">
        <v>250711</v>
      </c>
      <c r="L275" s="129" t="str">
        <f>실험지시[[#This Row],[금형코드]]</f>
        <v>M251264_01</v>
      </c>
      <c r="M275" s="131" t="str">
        <f>IFERROR(VLOOKUP($A275,[5]실험의뢰_장진영!$A:$M,5,0),"")</f>
        <v/>
      </c>
      <c r="N275" s="104" t="str">
        <f>IFERROR(VLOOKUP($A275,[5]실험의뢰_장진영!$A:$M,4,0),"")</f>
        <v/>
      </c>
      <c r="O275" s="132" t="str">
        <f>IFERROR(VLOOKUP($A275,[5]실험의뢰_장진영!$A:$M,6,0),"")</f>
        <v/>
      </c>
      <c r="P275" s="99" t="str">
        <f>IFERROR(VLOOKUP(실험지시[[#This Row],[제품명]],BOM_개발품목[[제품명]:[사양]],7,0),"")</f>
        <v>PMMA (LGMMA IF850)</v>
      </c>
      <c r="Q275" s="104" t="str">
        <f>IFERROR(VLOOKUP($A275,[5]실험의뢰_장진영!$A:$M,11,0),"")</f>
        <v/>
      </c>
      <c r="R275" s="104" t="str">
        <f>IFERROR(VLOOKUP($A275,[5]실험의뢰_장진영!$A:$M,12,0),"")</f>
        <v/>
      </c>
      <c r="S275" s="104" t="str">
        <f>IFERROR(VLOOKUP($A275,[5]실험의뢰_장진영!$A:$M,13,0),"")</f>
        <v/>
      </c>
      <c r="T275" s="58"/>
    </row>
    <row r="276" spans="1:20" ht="30" customHeight="1">
      <c r="A276" s="99" t="str">
        <f>실험지시[[#This Row],[품목코드]] &amp; "_" &amp; TEXT(실험지시[[#This Row],[실험지시일자]], "yyyymmdd")</f>
        <v>SI1654_20251030</v>
      </c>
      <c r="B276" t="s">
        <v>1460</v>
      </c>
      <c r="C276" s="99" t="str">
        <f>IFERROR(VLOOKUP(실험지시[[#This Row],[제품명]],BOM_개발품목[[제품명]:[사양]],5,0),"")</f>
        <v>M251319_01</v>
      </c>
      <c r="D276" s="112" t="str">
        <f>IFERROR(VLOOKUP(실험지시[[#This Row],[제품명]],BOM_개발품목[[제품명]:[사양]],4,0),"")</f>
        <v>SI1654</v>
      </c>
      <c r="E276" s="1">
        <v>45960</v>
      </c>
      <c r="F276" t="s">
        <v>114</v>
      </c>
      <c r="G276" s="1" t="s">
        <v>1465</v>
      </c>
      <c r="H276" t="s">
        <v>458</v>
      </c>
      <c r="I276" s="3">
        <v>6</v>
      </c>
      <c r="J276" s="46">
        <v>14</v>
      </c>
      <c r="L276" s="129" t="str">
        <f>실험지시[[#This Row],[금형코드]]</f>
        <v>M251319_01</v>
      </c>
      <c r="M276" s="131" t="str">
        <f>IFERROR(VLOOKUP($A276,[5]실험의뢰_장진영!$A:$M,5,0),"")</f>
        <v/>
      </c>
      <c r="N276" s="104" t="str">
        <f>IFERROR(VLOOKUP($A276,[5]실험의뢰_장진영!$A:$M,4,0),"")</f>
        <v/>
      </c>
      <c r="O276" s="132" t="str">
        <f>IFERROR(VLOOKUP($A276,[5]실험의뢰_장진영!$A:$M,6,0),"")</f>
        <v/>
      </c>
      <c r="P276" s="99" t="str">
        <f>IFERROR(VLOOKUP(실험지시[[#This Row],[제품명]],BOM_개발품목[[제품명]:[사양]],7,0),"")</f>
        <v>PP 4017</v>
      </c>
      <c r="Q276" s="104" t="str">
        <f>IFERROR(VLOOKUP($A276,[5]실험의뢰_장진영!$A:$M,11,0),"")</f>
        <v/>
      </c>
      <c r="R276" s="104" t="str">
        <f>IFERROR(VLOOKUP($A276,[5]실험의뢰_장진영!$A:$M,12,0),"")</f>
        <v/>
      </c>
      <c r="S276" s="104" t="str">
        <f>IFERROR(VLOOKUP($A276,[5]실험의뢰_장진영!$A:$M,13,0),"")</f>
        <v/>
      </c>
      <c r="T276" s="58"/>
    </row>
    <row r="277" spans="1:20" ht="30" customHeight="1">
      <c r="A277" s="99" t="str">
        <f>실험지시[[#This Row],[품목코드]] &amp; "_" &amp; TEXT(실험지시[[#This Row],[실험지시일자]], "yyyymmdd")</f>
        <v>SI1653_20251029</v>
      </c>
      <c r="B277" t="s">
        <v>1459</v>
      </c>
      <c r="C277" s="99" t="str">
        <f>IFERROR(VLOOKUP(실험지시[[#This Row],[제품명]],BOM_개발품목[[제품명]:[사양]],5,0),"")</f>
        <v>M251318_01</v>
      </c>
      <c r="D277" s="112" t="str">
        <f>IFERROR(VLOOKUP(실험지시[[#This Row],[제품명]],BOM_개발품목[[제품명]:[사양]],4,0),"")</f>
        <v>SI1653</v>
      </c>
      <c r="E277" s="1">
        <v>45959</v>
      </c>
      <c r="F277" t="s">
        <v>114</v>
      </c>
      <c r="G277" s="1" t="s">
        <v>499</v>
      </c>
      <c r="I277" s="3"/>
      <c r="J277" s="46">
        <v>14</v>
      </c>
      <c r="L277" s="129" t="str">
        <f>실험지시[[#This Row],[금형코드]]</f>
        <v>M251318_01</v>
      </c>
      <c r="M277" s="131" t="str">
        <f>IFERROR(VLOOKUP($A277,[5]실험의뢰_장진영!$A:$M,5,0),"")</f>
        <v/>
      </c>
      <c r="N277" s="104" t="str">
        <f>IFERROR(VLOOKUP($A277,[5]실험의뢰_장진영!$A:$M,4,0),"")</f>
        <v/>
      </c>
      <c r="O277" s="132" t="str">
        <f>IFERROR(VLOOKUP($A277,[5]실험의뢰_장진영!$A:$M,6,0),"")</f>
        <v/>
      </c>
      <c r="P277" s="99" t="str">
        <f>IFERROR(VLOOKUP(실험지시[[#This Row],[제품명]],BOM_개발품목[[제품명]:[사양]],7,0),"")</f>
        <v>ABS 0670</v>
      </c>
      <c r="Q277" s="104" t="str">
        <f>IFERROR(VLOOKUP($A277,[5]실험의뢰_장진영!$A:$M,11,0),"")</f>
        <v/>
      </c>
      <c r="R277" s="104" t="str">
        <f>IFERROR(VLOOKUP($A277,[5]실험의뢰_장진영!$A:$M,12,0),"")</f>
        <v/>
      </c>
      <c r="S277" s="104" t="str">
        <f>IFERROR(VLOOKUP($A277,[5]실험의뢰_장진영!$A:$M,13,0),"")</f>
        <v/>
      </c>
      <c r="T277" s="58"/>
    </row>
    <row r="278" spans="1:20" ht="30" customHeight="1">
      <c r="A278" s="99" t="str">
        <f>실험지시[[#This Row],[품목코드]] &amp; "_" &amp; TEXT(실험지시[[#This Row],[실험지시일자]], "yyyymmdd")</f>
        <v>SI1642_20251030</v>
      </c>
      <c r="B278" t="s">
        <v>1401</v>
      </c>
      <c r="C278" s="99" t="str">
        <f>IFERROR(VLOOKUP(실험지시[[#This Row],[제품명]],BOM_개발품목[[제품명]:[사양]],5,0),"")</f>
        <v>M251267_01</v>
      </c>
      <c r="D278" s="112" t="str">
        <f>IFERROR(VLOOKUP(실험지시[[#This Row],[제품명]],BOM_개발품목[[제품명]:[사양]],4,0),"")</f>
        <v>SI1642</v>
      </c>
      <c r="E278" s="1">
        <v>45960</v>
      </c>
      <c r="F278" t="s">
        <v>114</v>
      </c>
      <c r="G278" t="s">
        <v>1437</v>
      </c>
      <c r="H278" t="s">
        <v>1438</v>
      </c>
      <c r="I278" s="3">
        <v>2.5</v>
      </c>
      <c r="J278" s="46">
        <v>16</v>
      </c>
      <c r="K278" s="74">
        <v>251027</v>
      </c>
      <c r="L278" s="129" t="str">
        <f>실험지시[[#This Row],[금형코드]]</f>
        <v>M251267_01</v>
      </c>
      <c r="M278" s="131" t="str">
        <f>IFERROR(VLOOKUP($A278,[5]실험의뢰_장진영!$A:$M,5,0),"")</f>
        <v/>
      </c>
      <c r="N278" s="104" t="str">
        <f>IFERROR(VLOOKUP($A278,[5]실험의뢰_장진영!$A:$M,4,0),"")</f>
        <v/>
      </c>
      <c r="O278" s="132" t="str">
        <f>IFERROR(VLOOKUP($A278,[5]실험의뢰_장진영!$A:$M,6,0),"")</f>
        <v/>
      </c>
      <c r="P278" s="99" t="str">
        <f>IFERROR(VLOOKUP(실험지시[[#This Row],[제품명]],BOM_개발품목[[제품명]:[사양]],7,0),"")</f>
        <v>PCR PP (한화토탈에너지스 PCR RJ570E (CR PCR 100%))</v>
      </c>
      <c r="Q278" s="104" t="str">
        <f>IFERROR(VLOOKUP($A278,[5]실험의뢰_장진영!$A:$M,11,0),"")</f>
        <v/>
      </c>
      <c r="R278" s="104" t="str">
        <f>IFERROR(VLOOKUP($A278,[5]실험의뢰_장진영!$A:$M,12,0),"")</f>
        <v/>
      </c>
      <c r="S278" s="104" t="str">
        <f>IFERROR(VLOOKUP($A278,[5]실험의뢰_장진영!$A:$M,13,0),"")</f>
        <v/>
      </c>
      <c r="T278" s="58"/>
    </row>
    <row r="279" spans="1:20" ht="30" customHeight="1">
      <c r="A279" s="99" t="str">
        <f>실험지시[[#This Row],[품목코드]] &amp; "_" &amp; TEXT(실험지시[[#This Row],[실험지시일자]], "yyyymmdd")</f>
        <v>SI1656_20251031</v>
      </c>
      <c r="B279" t="s">
        <v>1527</v>
      </c>
      <c r="C279" s="99" t="str">
        <f>IFERROR(VLOOKUP(실험지시[[#This Row],[제품명]],BOM_개발품목[[제품명]:[사양]],5,0),"")</f>
        <v>M241190_02</v>
      </c>
      <c r="D279" s="112" t="str">
        <f>IFERROR(VLOOKUP(실험지시[[#This Row],[제품명]],BOM_개발품목[[제품명]:[사양]],4,0),"")</f>
        <v>SI1656</v>
      </c>
      <c r="E279" s="1">
        <v>45961</v>
      </c>
      <c r="F279" t="s">
        <v>114</v>
      </c>
      <c r="G279" s="1" t="s">
        <v>499</v>
      </c>
      <c r="H279" t="s">
        <v>1511</v>
      </c>
      <c r="I279" s="3" t="s">
        <v>1512</v>
      </c>
      <c r="J279" s="46">
        <v>14</v>
      </c>
      <c r="L279" s="129" t="str">
        <f>실험지시[[#This Row],[금형코드]]</f>
        <v>M241190_02</v>
      </c>
      <c r="M279" s="131" t="str">
        <f>IFERROR(VLOOKUP($A279,[5]실험의뢰_장진영!$A:$M,5,0),"")</f>
        <v/>
      </c>
      <c r="N279" s="104" t="str">
        <f>IFERROR(VLOOKUP($A279,[5]실험의뢰_장진영!$A:$M,4,0),"")</f>
        <v/>
      </c>
      <c r="O279" s="132" t="str">
        <f>IFERROR(VLOOKUP($A279,[5]실험의뢰_장진영!$A:$M,6,0),"")</f>
        <v/>
      </c>
      <c r="P279" s="99" t="str">
        <f>IFERROR(VLOOKUP(실험지시[[#This Row],[제품명]],BOM_개발품목[[제품명]:[사양]],7,0),"")</f>
        <v>ABS (롯데첨단소재 MP-0670)</v>
      </c>
      <c r="Q279" s="104" t="str">
        <f>IFERROR(VLOOKUP($A279,[5]실험의뢰_장진영!$A:$M,11,0),"")</f>
        <v/>
      </c>
      <c r="R279" s="104" t="str">
        <f>IFERROR(VLOOKUP($A279,[5]실험의뢰_장진영!$A:$M,12,0),"")</f>
        <v/>
      </c>
      <c r="S279" s="104" t="str">
        <f>IFERROR(VLOOKUP($A279,[5]실험의뢰_장진영!$A:$M,13,0),"")</f>
        <v/>
      </c>
      <c r="T279" s="58"/>
    </row>
    <row r="280" spans="1:20" ht="30" customHeight="1">
      <c r="A280" s="99" t="str">
        <f>실험지시[[#This Row],[품목코드]] &amp; "_" &amp; TEXT(실험지시[[#This Row],[실험지시일자]], "yyyymmdd")</f>
        <v>SI1657_20251031</v>
      </c>
      <c r="B280" t="s">
        <v>1529</v>
      </c>
      <c r="C280" s="99" t="str">
        <f>IFERROR(VLOOKUP(실험지시[[#This Row],[제품명]],BOM_개발품목[[제품명]:[사양]],5,0),"")</f>
        <v>M241191_02</v>
      </c>
      <c r="D280" s="112" t="str">
        <f>IFERROR(VLOOKUP(실험지시[[#This Row],[제품명]],BOM_개발품목[[제품명]:[사양]],4,0),"")</f>
        <v>SI1657</v>
      </c>
      <c r="E280" s="1">
        <v>45961</v>
      </c>
      <c r="G280" s="1" t="s">
        <v>499</v>
      </c>
      <c r="H280" t="s">
        <v>1511</v>
      </c>
      <c r="I280" s="3" t="s">
        <v>1512</v>
      </c>
      <c r="J280" s="46">
        <v>14</v>
      </c>
      <c r="L280" s="129" t="str">
        <f>실험지시[[#This Row],[금형코드]]</f>
        <v>M241191_02</v>
      </c>
      <c r="M280" s="131" t="str">
        <f>IFERROR(VLOOKUP($A280,[5]실험의뢰_장진영!$A:$M,5,0),"")</f>
        <v/>
      </c>
      <c r="N280" s="104" t="str">
        <f>IFERROR(VLOOKUP($A280,[5]실험의뢰_장진영!$A:$M,4,0),"")</f>
        <v/>
      </c>
      <c r="O280" s="132" t="str">
        <f>IFERROR(VLOOKUP($A280,[5]실험의뢰_장진영!$A:$M,6,0),"")</f>
        <v/>
      </c>
      <c r="P280" s="99" t="str">
        <f>IFERROR(VLOOKUP(실험지시[[#This Row],[제품명]],BOM_개발품목[[제품명]:[사양]],7,0),"")</f>
        <v>ABS (롯데첨단소재 MP-0670)</v>
      </c>
      <c r="Q280" s="104" t="str">
        <f>IFERROR(VLOOKUP($A280,[5]실험의뢰_장진영!$A:$M,11,0),"")</f>
        <v/>
      </c>
      <c r="R280" s="104" t="str">
        <f>IFERROR(VLOOKUP($A280,[5]실험의뢰_장진영!$A:$M,12,0),"")</f>
        <v/>
      </c>
      <c r="S280" s="104" t="str">
        <f>IFERROR(VLOOKUP($A280,[5]실험의뢰_장진영!$A:$M,13,0),"")</f>
        <v/>
      </c>
      <c r="T280" s="58"/>
    </row>
    <row r="281" spans="1:20" ht="30" customHeight="1">
      <c r="A281" s="99" t="str">
        <f>실험지시[[#This Row],[품목코드]] &amp; "_" &amp; TEXT(실험지시[[#This Row],[실험지시일자]], "yyyymmdd")</f>
        <v>0_19000100</v>
      </c>
      <c r="B281" t="s">
        <v>1531</v>
      </c>
      <c r="C281" s="99" t="str">
        <f>IFERROR(VLOOKUP(실험지시[[#This Row],[제품명]],BOM_개발품목[[제품명]:[사양]],5,0),"")</f>
        <v>M241192_02</v>
      </c>
      <c r="D281" s="112">
        <f>IFERROR(VLOOKUP(실험지시[[#This Row],[제품명]],BOM_개발품목[[제품명]:[사양]],4,0),"")</f>
        <v>0</v>
      </c>
      <c r="E281" s="1"/>
      <c r="G281" s="1" t="s">
        <v>1514</v>
      </c>
      <c r="H281" t="s">
        <v>1513</v>
      </c>
      <c r="I281" s="3"/>
      <c r="L281" s="129" t="str">
        <f>실험지시[[#This Row],[금형코드]]</f>
        <v>M241192_02</v>
      </c>
      <c r="M281" s="131" t="str">
        <f>IFERROR(VLOOKUP($A281,[5]실험의뢰_장진영!$A:$M,5,0),"")</f>
        <v/>
      </c>
      <c r="N281" s="104" t="str">
        <f>IFERROR(VLOOKUP($A281,[5]실험의뢰_장진영!$A:$M,4,0),"")</f>
        <v/>
      </c>
      <c r="O281" s="132" t="str">
        <f>IFERROR(VLOOKUP($A281,[5]실험의뢰_장진영!$A:$M,6,0),"")</f>
        <v/>
      </c>
      <c r="P281" s="99" t="str">
        <f>IFERROR(VLOOKUP(실험지시[[#This Row],[제품명]],BOM_개발품목[[제품명]:[사양]],7,0),"")</f>
        <v>"LDPE (한화케미칼 5321) (30%)
PP (롯데케미칼 J-560S) (70%)"</v>
      </c>
      <c r="Q281" s="104" t="str">
        <f>IFERROR(VLOOKUP($A281,[5]실험의뢰_장진영!$A:$M,11,0),"")</f>
        <v/>
      </c>
      <c r="R281" s="104" t="str">
        <f>IFERROR(VLOOKUP($A281,[5]실험의뢰_장진영!$A:$M,12,0),"")</f>
        <v/>
      </c>
      <c r="S281" s="104" t="str">
        <f>IFERROR(VLOOKUP($A281,[5]실험의뢰_장진영!$A:$M,13,0),"")</f>
        <v/>
      </c>
      <c r="T281" s="58"/>
    </row>
    <row r="282" spans="1:20" ht="30" customHeight="1">
      <c r="A282" s="99" t="str">
        <f>실험지시[[#This Row],[품목코드]] &amp; "_" &amp; TEXT(실험지시[[#This Row],[실험지시일자]], "yyyymmdd")</f>
        <v>0_19000100</v>
      </c>
      <c r="B282" t="s">
        <v>1534</v>
      </c>
      <c r="C282" s="99" t="str">
        <f>IFERROR(VLOOKUP(실험지시[[#This Row],[제품명]],BOM_개발품목[[제품명]:[사양]],5,0),"")</f>
        <v>M241193_02</v>
      </c>
      <c r="D282" s="112">
        <f>IFERROR(VLOOKUP(실험지시[[#This Row],[제품명]],BOM_개발품목[[제품명]:[사양]],4,0),"")</f>
        <v>0</v>
      </c>
      <c r="E282" s="1"/>
      <c r="G282" s="1" t="s">
        <v>157</v>
      </c>
      <c r="H282" t="s">
        <v>1513</v>
      </c>
      <c r="I282" s="3"/>
      <c r="L282" s="129" t="str">
        <f>실험지시[[#This Row],[금형코드]]</f>
        <v>M241193_02</v>
      </c>
      <c r="M282" s="131" t="str">
        <f>IFERROR(VLOOKUP($A282,[5]실험의뢰_장진영!$A:$M,5,0),"")</f>
        <v/>
      </c>
      <c r="N282" s="104" t="str">
        <f>IFERROR(VLOOKUP($A282,[5]실험의뢰_장진영!$A:$M,4,0),"")</f>
        <v/>
      </c>
      <c r="O282" s="132" t="str">
        <f>IFERROR(VLOOKUP($A282,[5]실험의뢰_장진영!$A:$M,6,0),"")</f>
        <v/>
      </c>
      <c r="P282" s="99" t="str">
        <f>IFERROR(VLOOKUP(실험지시[[#This Row],[제품명]],BOM_개발품목[[제품명]:[사양]],7,0),"")</f>
        <v>PP (롯데케미칼 J-560S)</v>
      </c>
      <c r="Q282" s="104" t="str">
        <f>IFERROR(VLOOKUP($A282,[5]실험의뢰_장진영!$A:$M,11,0),"")</f>
        <v/>
      </c>
      <c r="R282" s="104" t="str">
        <f>IFERROR(VLOOKUP($A282,[5]실험의뢰_장진영!$A:$M,12,0),"")</f>
        <v/>
      </c>
      <c r="S282" s="104" t="str">
        <f>IFERROR(VLOOKUP($A282,[5]실험의뢰_장진영!$A:$M,13,0),"")</f>
        <v/>
      </c>
      <c r="T282" s="58"/>
    </row>
    <row r="283" spans="1:20" ht="30" customHeight="1">
      <c r="A283" s="99" t="str">
        <f>실험지시[[#This Row],[품목코드]] &amp; "_" &amp; TEXT(실험지시[[#This Row],[실험지시일자]], "yyyymmdd")</f>
        <v>0_19000100</v>
      </c>
      <c r="B283" t="s">
        <v>1536</v>
      </c>
      <c r="C283" s="99" t="str">
        <f>IFERROR(VLOOKUP(실험지시[[#This Row],[제품명]],BOM_개발품목[[제품명]:[사양]],5,0),"")</f>
        <v>M241171_01</v>
      </c>
      <c r="D283" s="112">
        <f>IFERROR(VLOOKUP(실험지시[[#This Row],[제품명]],BOM_개발품목[[제품명]:[사양]],4,0),"")</f>
        <v>0</v>
      </c>
      <c r="E283" s="1"/>
      <c r="G283" s="1" t="s">
        <v>157</v>
      </c>
      <c r="H283" t="s">
        <v>1513</v>
      </c>
      <c r="I283" s="3"/>
      <c r="L283" s="129" t="str">
        <f>실험지시[[#This Row],[금형코드]]</f>
        <v>M241171_01</v>
      </c>
      <c r="M283" s="131" t="str">
        <f>IFERROR(VLOOKUP($A283,[5]실험의뢰_장진영!$A:$M,5,0),"")</f>
        <v/>
      </c>
      <c r="N283" s="104" t="str">
        <f>IFERROR(VLOOKUP($A283,[5]실험의뢰_장진영!$A:$M,4,0),"")</f>
        <v/>
      </c>
      <c r="O283" s="132" t="str">
        <f>IFERROR(VLOOKUP($A283,[5]실험의뢰_장진영!$A:$M,6,0),"")</f>
        <v/>
      </c>
      <c r="P283" s="99" t="str">
        <f>IFERROR(VLOOKUP(실험지시[[#This Row],[제품명]],BOM_개발품목[[제품명]:[사양]],7,0),"")</f>
        <v>PP (롯데케미칼 J-560S)</v>
      </c>
      <c r="Q283" s="104" t="str">
        <f>IFERROR(VLOOKUP($A283,[5]실험의뢰_장진영!$A:$M,11,0),"")</f>
        <v/>
      </c>
      <c r="R283" s="104" t="str">
        <f>IFERROR(VLOOKUP($A283,[5]실험의뢰_장진영!$A:$M,12,0),"")</f>
        <v/>
      </c>
      <c r="S283" s="104" t="str">
        <f>IFERROR(VLOOKUP($A283,[5]실험의뢰_장진영!$A:$M,13,0),"")</f>
        <v/>
      </c>
      <c r="T283" s="58"/>
    </row>
    <row r="284" spans="1:20" ht="30" customHeight="1">
      <c r="A284" s="99" t="str">
        <f>실험지시[[#This Row],[품목코드]] &amp; "_" &amp; TEXT(실험지시[[#This Row],[실험지시일자]], "yyyymmdd")</f>
        <v>SI1638_20251104</v>
      </c>
      <c r="B284" t="s">
        <v>1373</v>
      </c>
      <c r="C284" s="99" t="str">
        <f>IFERROR(VLOOKUP(실험지시[[#This Row],[제품명]],BOM_개발품목[[제품명]:[사양]],5,0),"")</f>
        <v>M251263_01</v>
      </c>
      <c r="D284" s="112" t="str">
        <f>IFERROR(VLOOKUP(실험지시[[#This Row],[제품명]],BOM_개발품목[[제품명]:[사양]],4,0),"")</f>
        <v>SI1638</v>
      </c>
      <c r="E284" s="1">
        <v>45965</v>
      </c>
      <c r="F284" t="s">
        <v>161</v>
      </c>
      <c r="G284" t="s">
        <v>1437</v>
      </c>
      <c r="H284" t="s">
        <v>1438</v>
      </c>
      <c r="I284" s="3">
        <v>3</v>
      </c>
      <c r="J284" s="46">
        <v>15</v>
      </c>
      <c r="K284" s="74">
        <v>251022</v>
      </c>
      <c r="L284" s="129" t="str">
        <f>실험지시[[#This Row],[금형코드]]</f>
        <v>M251263_01</v>
      </c>
      <c r="M284" s="131" t="str">
        <f>IFERROR(VLOOKUP($A284,[5]실험의뢰_장진영!$A:$M,5,0),"")</f>
        <v/>
      </c>
      <c r="N284" s="104" t="str">
        <f>IFERROR(VLOOKUP($A284,[5]실험의뢰_장진영!$A:$M,4,0),"")</f>
        <v/>
      </c>
      <c r="O284" s="132" t="str">
        <f>IFERROR(VLOOKUP($A284,[5]실험의뢰_장진영!$A:$M,6,0),"")</f>
        <v/>
      </c>
      <c r="P284" s="99" t="str">
        <f>IFERROR(VLOOKUP(실험지시[[#This Row],[제품명]],BOM_개발품목[[제품명]:[사양]],7,0),"")</f>
        <v>PCR PP (한화토탈에너지스 PCR RJ570E (CR PCR 100%))</v>
      </c>
      <c r="Q284" s="104" t="str">
        <f>IFERROR(VLOOKUP($A284,[5]실험의뢰_장진영!$A:$M,11,0),"")</f>
        <v/>
      </c>
      <c r="R284" s="104" t="str">
        <f>IFERROR(VLOOKUP($A284,[5]실험의뢰_장진영!$A:$M,12,0),"")</f>
        <v/>
      </c>
      <c r="S284" s="104" t="str">
        <f>IFERROR(VLOOKUP($A284,[5]실험의뢰_장진영!$A:$M,13,0),"")</f>
        <v/>
      </c>
      <c r="T284" s="58"/>
    </row>
    <row r="285" spans="1:20" ht="30" customHeight="1">
      <c r="A285" s="99" t="str">
        <f>실험지시[[#This Row],[품목코드]] &amp; "_" &amp; TEXT(실험지시[[#This Row],[실험지시일자]], "yyyymmdd")</f>
        <v>SI1611_20251104</v>
      </c>
      <c r="B285" t="s">
        <v>915</v>
      </c>
      <c r="C285" s="99" t="str">
        <f>IFERROR(VLOOKUP(실험지시[[#This Row],[제품명]],BOM_개발품목[[제품명]:[사양]],5,0),"")</f>
        <v>M251166_01</v>
      </c>
      <c r="D285" s="112" t="str">
        <f>IFERROR(VLOOKUP(실험지시[[#This Row],[제품명]],BOM_개발품목[[제품명]:[사양]],4,0),"")</f>
        <v>SI1611</v>
      </c>
      <c r="E285" s="1">
        <v>45965</v>
      </c>
      <c r="F285" t="s">
        <v>114</v>
      </c>
      <c r="G285" s="1" t="s">
        <v>1515</v>
      </c>
      <c r="H285" t="s">
        <v>458</v>
      </c>
      <c r="I285" s="3">
        <v>6</v>
      </c>
      <c r="J285" s="46">
        <v>14</v>
      </c>
      <c r="L285" s="129" t="str">
        <f>실험지시[[#This Row],[금형코드]]</f>
        <v>M251166_01</v>
      </c>
      <c r="M285" s="131" t="str">
        <f>IFERROR(VLOOKUP($A285,[5]실험의뢰_장진영!$A:$M,5,0),"")</f>
        <v/>
      </c>
      <c r="N285" s="104" t="str">
        <f>IFERROR(VLOOKUP($A285,[5]실험의뢰_장진영!$A:$M,4,0),"")</f>
        <v/>
      </c>
      <c r="O285" s="132" t="str">
        <f>IFERROR(VLOOKUP($A285,[5]실험의뢰_장진영!$A:$M,6,0),"")</f>
        <v/>
      </c>
      <c r="P285" s="99" t="str">
        <f>IFERROR(VLOOKUP(실험지시[[#This Row],[제품명]],BOM_개발품목[[제품명]:[사양]],7,0),"")</f>
        <v>PP (롯데케미칼 J-560S)</v>
      </c>
      <c r="Q285" s="104" t="str">
        <f>IFERROR(VLOOKUP($A285,[5]실험의뢰_장진영!$A:$M,11,0),"")</f>
        <v/>
      </c>
      <c r="R285" s="104" t="str">
        <f>IFERROR(VLOOKUP($A285,[5]실험의뢰_장진영!$A:$M,12,0),"")</f>
        <v/>
      </c>
      <c r="S285" s="104" t="str">
        <f>IFERROR(VLOOKUP($A285,[5]실험의뢰_장진영!$A:$M,13,0),"")</f>
        <v/>
      </c>
      <c r="T285" s="58"/>
    </row>
    <row r="286" spans="1:20" ht="30" customHeight="1">
      <c r="A286" s="99" t="str">
        <f>실험지시[[#This Row],[품목코드]] &amp; "_" &amp; TEXT(실험지시[[#This Row],[실험지시일자]], "yyyymmdd")</f>
        <v>SI1665_20251112</v>
      </c>
      <c r="B286" t="s">
        <v>1676</v>
      </c>
      <c r="C286" s="99" t="str">
        <f>IFERROR(VLOOKUP(실험지시[[#This Row],[제품명]],BOM_개발품목[[제품명]:[사양]],5,0),"")</f>
        <v>M201244_03, M201245_04, M110373_02, M110372_01</v>
      </c>
      <c r="D286" s="112" t="str">
        <f>IFERROR(VLOOKUP(실험지시[[#This Row],[제품명]],BOM_개발품목[[제품명]:[사양]],4,0),"")</f>
        <v>SI1665</v>
      </c>
      <c r="E286" s="1">
        <v>45973</v>
      </c>
      <c r="F286" t="s">
        <v>74</v>
      </c>
      <c r="G286" s="1" t="s">
        <v>1646</v>
      </c>
      <c r="H286" t="s">
        <v>1647</v>
      </c>
      <c r="I286" s="3">
        <v>6</v>
      </c>
      <c r="J286" s="46">
        <v>14</v>
      </c>
      <c r="L286" s="129" t="str">
        <f>실험지시[[#This Row],[금형코드]]</f>
        <v>M201244_03, M201245_04, M110373_02, M110372_01</v>
      </c>
      <c r="M286" s="131" t="str">
        <f>IFERROR(VLOOKUP($A286,[5]실험의뢰_장진영!$A:$M,5,0),"")</f>
        <v/>
      </c>
      <c r="N286" s="104" t="str">
        <f>IFERROR(VLOOKUP($A286,[5]실험의뢰_장진영!$A:$M,4,0),"")</f>
        <v/>
      </c>
      <c r="O286" s="132" t="str">
        <f>IFERROR(VLOOKUP($A286,[5]실험의뢰_장진영!$A:$M,6,0),"")</f>
        <v/>
      </c>
      <c r="P286" s="99" t="str">
        <f>IFERROR(VLOOKUP(실험지시[[#This Row],[제품명]],BOM_개발품목[[제품명]:[사양]],7,0),"")</f>
        <v>PETG (SK케미칼 PN200)</v>
      </c>
      <c r="Q286" s="104" t="str">
        <f>IFERROR(VLOOKUP($A286,[5]실험의뢰_장진영!$A:$M,11,0),"")</f>
        <v/>
      </c>
      <c r="R286" s="104" t="str">
        <f>IFERROR(VLOOKUP($A286,[5]실험의뢰_장진영!$A:$M,12,0),"")</f>
        <v/>
      </c>
      <c r="S286" s="104" t="str">
        <f>IFERROR(VLOOKUP($A286,[5]실험의뢰_장진영!$A:$M,13,0),"")</f>
        <v/>
      </c>
      <c r="T286" s="58"/>
    </row>
    <row r="287" spans="1:20" ht="30" customHeight="1">
      <c r="A287" s="99" t="str">
        <f>실험지시[[#This Row],[품목코드]] &amp; "_" &amp; TEXT(실험지시[[#This Row],[실험지시일자]], "yyyymmdd")</f>
        <v>SI1666_20251112</v>
      </c>
      <c r="B287" t="s">
        <v>1679</v>
      </c>
      <c r="C287" s="99" t="str">
        <f>IFERROR(VLOOKUP(실험지시[[#This Row],[제품명]],BOM_개발품목[[제품명]:[사양]],5,0),"")</f>
        <v>M201246_02, M110375_01</v>
      </c>
      <c r="D287" s="112" t="str">
        <f>IFERROR(VLOOKUP(실험지시[[#This Row],[제품명]],BOM_개발품목[[제품명]:[사양]],4,0),"")</f>
        <v>SI1666</v>
      </c>
      <c r="E287" s="1">
        <v>45973</v>
      </c>
      <c r="F287" t="s">
        <v>74</v>
      </c>
      <c r="G287" s="1" t="s">
        <v>499</v>
      </c>
      <c r="I287" s="3"/>
      <c r="J287" s="46">
        <v>14</v>
      </c>
      <c r="L287" s="129" t="str">
        <f>실험지시[[#This Row],[금형코드]]</f>
        <v>M201246_02, M110375_01</v>
      </c>
      <c r="M287" s="131" t="str">
        <f>IFERROR(VLOOKUP($A287,[5]실험의뢰_장진영!$A:$M,5,0),"")</f>
        <v/>
      </c>
      <c r="N287" s="104" t="str">
        <f>IFERROR(VLOOKUP($A287,[5]실험의뢰_장진영!$A:$M,4,0),"")</f>
        <v/>
      </c>
      <c r="O287" s="132" t="str">
        <f>IFERROR(VLOOKUP($A287,[5]실험의뢰_장진영!$A:$M,6,0),"")</f>
        <v/>
      </c>
      <c r="P287" s="99" t="str">
        <f>IFERROR(VLOOKUP(실험지시[[#This Row],[제품명]],BOM_개발품목[[제품명]:[사양]],7,0),"")</f>
        <v>ABS (롯데첨단소재 MP-0670)</v>
      </c>
      <c r="Q287" s="104" t="str">
        <f>IFERROR(VLOOKUP($A287,[5]실험의뢰_장진영!$A:$M,11,0),"")</f>
        <v/>
      </c>
      <c r="R287" s="104" t="str">
        <f>IFERROR(VLOOKUP($A287,[5]실험의뢰_장진영!$A:$M,12,0),"")</f>
        <v/>
      </c>
      <c r="S287" s="104" t="str">
        <f>IFERROR(VLOOKUP($A287,[5]실험의뢰_장진영!$A:$M,13,0),"")</f>
        <v/>
      </c>
      <c r="T287" s="58"/>
    </row>
    <row r="288" spans="1:20" ht="30" customHeight="1">
      <c r="A288" s="99" t="str">
        <f>실험지시[[#This Row],[품목코드]] &amp; "_" &amp; TEXT(실험지시[[#This Row],[실험지시일자]], "yyyymmdd")</f>
        <v>SI1667_20251111</v>
      </c>
      <c r="B288" t="s">
        <v>1682</v>
      </c>
      <c r="C288" s="99" t="str">
        <f>IFERROR(VLOOKUP(실험지시[[#This Row],[제품명]],BOM_개발품목[[제품명]:[사양]],5,0),"")</f>
        <v>M110374_01</v>
      </c>
      <c r="D288" s="112" t="str">
        <f>IFERROR(VLOOKUP(실험지시[[#This Row],[제품명]],BOM_개발품목[[제품명]:[사양]],4,0),"")</f>
        <v>SI1667</v>
      </c>
      <c r="E288" s="1">
        <v>45972</v>
      </c>
      <c r="F288" t="s">
        <v>74</v>
      </c>
      <c r="G288" s="1" t="s">
        <v>1515</v>
      </c>
      <c r="H288" t="s">
        <v>1645</v>
      </c>
      <c r="I288" s="3">
        <v>2</v>
      </c>
      <c r="J288" s="46">
        <v>9</v>
      </c>
      <c r="L288" s="129" t="str">
        <f>실험지시[[#This Row],[금형코드]]</f>
        <v>M110374_01</v>
      </c>
      <c r="M288" s="131" t="str">
        <f>IFERROR(VLOOKUP($A288,[5]실험의뢰_장진영!$A:$M,5,0),"")</f>
        <v/>
      </c>
      <c r="N288" s="104" t="str">
        <f>IFERROR(VLOOKUP($A288,[5]실험의뢰_장진영!$A:$M,4,0),"")</f>
        <v/>
      </c>
      <c r="O288" s="132" t="str">
        <f>IFERROR(VLOOKUP($A288,[5]실험의뢰_장진영!$A:$M,6,0),"")</f>
        <v/>
      </c>
      <c r="P288" s="99" t="str">
        <f>IFERROR(VLOOKUP(실험지시[[#This Row],[제품명]],BOM_개발품목[[제품명]:[사양]],7,0),"")</f>
        <v>PP (롯데케미칼 J-560S)</v>
      </c>
      <c r="Q288" s="104" t="str">
        <f>IFERROR(VLOOKUP($A288,[5]실험의뢰_장진영!$A:$M,11,0),"")</f>
        <v/>
      </c>
      <c r="R288" s="104" t="str">
        <f>IFERROR(VLOOKUP($A288,[5]실험의뢰_장진영!$A:$M,12,0),"")</f>
        <v/>
      </c>
      <c r="S288" s="104" t="str">
        <f>IFERROR(VLOOKUP($A288,[5]실험의뢰_장진영!$A:$M,13,0),"")</f>
        <v/>
      </c>
      <c r="T288" s="58"/>
    </row>
    <row r="289" spans="1:20" ht="30" customHeight="1">
      <c r="A289" s="99" t="str">
        <f>실험지시[[#This Row],[품목코드]] &amp; "_" &amp; TEXT(실험지시[[#This Row],[실험지시일자]], "yyyymmdd")</f>
        <v>SI1622_20251110</v>
      </c>
      <c r="B289" t="s">
        <v>942</v>
      </c>
      <c r="C289" s="99" t="str">
        <f>IFERROR(VLOOKUP(실험지시[[#This Row],[제품명]],BOM_개발품목[[제품명]:[사양]],5,0),"")</f>
        <v>M251192_01</v>
      </c>
      <c r="D289" s="112" t="str">
        <f>IFERROR(VLOOKUP(실험지시[[#This Row],[제품명]],BOM_개발품목[[제품명]:[사양]],4,0),"")</f>
        <v>SI1622</v>
      </c>
      <c r="E289" s="1">
        <v>45971</v>
      </c>
      <c r="F289" t="s">
        <v>74</v>
      </c>
      <c r="G289" s="1" t="s">
        <v>1644</v>
      </c>
      <c r="I289" s="3"/>
      <c r="J289" s="46">
        <v>20</v>
      </c>
      <c r="L289" s="129" t="str">
        <f>실험지시[[#This Row],[금형코드]]</f>
        <v>M251192_01</v>
      </c>
      <c r="M289" s="131" t="str">
        <f>IFERROR(VLOOKUP($A289,[5]실험의뢰_장진영!$A:$M,5,0),"")</f>
        <v/>
      </c>
      <c r="N289" s="104" t="str">
        <f>IFERROR(VLOOKUP($A289,[5]실험의뢰_장진영!$A:$M,4,0),"")</f>
        <v/>
      </c>
      <c r="O289" s="132" t="str">
        <f>IFERROR(VLOOKUP($A289,[5]실험의뢰_장진영!$A:$M,6,0),"")</f>
        <v/>
      </c>
      <c r="P289" s="99" t="str">
        <f>IFERROR(VLOOKUP(실험지시[[#This Row],[제품명]],BOM_개발품목[[제품명]:[사양]],7,0),"")</f>
        <v>ABS (롯데첨단소재 MP-0670)</v>
      </c>
      <c r="Q289" s="104" t="str">
        <f>IFERROR(VLOOKUP($A289,[5]실험의뢰_장진영!$A:$M,11,0),"")</f>
        <v/>
      </c>
      <c r="R289" s="104" t="str">
        <f>IFERROR(VLOOKUP($A289,[5]실험의뢰_장진영!$A:$M,12,0),"")</f>
        <v/>
      </c>
      <c r="S289" s="104" t="str">
        <f>IFERROR(VLOOKUP($A289,[5]실험의뢰_장진영!$A:$M,13,0),"")</f>
        <v/>
      </c>
      <c r="T289" s="58"/>
    </row>
    <row r="290" spans="1:20" ht="30" customHeight="1">
      <c r="A290" s="99" t="str">
        <f>실험지시[[#This Row],[품목코드]] &amp; "_" &amp; TEXT(실험지시[[#This Row],[실험지시일자]], "yyyymmdd")</f>
        <v>SI1654_20251111</v>
      </c>
      <c r="B290" t="s">
        <v>1460</v>
      </c>
      <c r="C290" s="99" t="str">
        <f>IFERROR(VLOOKUP(실험지시[[#This Row],[제품명]],BOM_개발품목[[제품명]:[사양]],5,0),"")</f>
        <v>M251319_01</v>
      </c>
      <c r="D290" s="112" t="str">
        <f>IFERROR(VLOOKUP(실험지시[[#This Row],[제품명]],BOM_개발품목[[제품명]:[사양]],4,0),"")</f>
        <v>SI1654</v>
      </c>
      <c r="E290" s="1">
        <v>45972</v>
      </c>
      <c r="F290" t="s">
        <v>74</v>
      </c>
      <c r="G290" s="1" t="s">
        <v>1465</v>
      </c>
      <c r="H290" t="s">
        <v>458</v>
      </c>
      <c r="I290" s="3">
        <v>6</v>
      </c>
      <c r="J290" s="46">
        <v>9</v>
      </c>
      <c r="L290" s="129" t="str">
        <f>실험지시[[#This Row],[금형코드]]</f>
        <v>M251319_01</v>
      </c>
      <c r="M290" s="131" t="str">
        <f>IFERROR(VLOOKUP($A290,[5]실험의뢰_장진영!$A:$M,5,0),"")</f>
        <v/>
      </c>
      <c r="N290" s="104" t="str">
        <f>IFERROR(VLOOKUP($A290,[5]실험의뢰_장진영!$A:$M,4,0),"")</f>
        <v/>
      </c>
      <c r="O290" s="132" t="str">
        <f>IFERROR(VLOOKUP($A290,[5]실험의뢰_장진영!$A:$M,6,0),"")</f>
        <v/>
      </c>
      <c r="P290" s="99" t="str">
        <f>IFERROR(VLOOKUP(실험지시[[#This Row],[제품명]],BOM_개발품목[[제품명]:[사양]],7,0),"")</f>
        <v>PP 4017</v>
      </c>
      <c r="Q290" s="104" t="str">
        <f>IFERROR(VLOOKUP($A290,[5]실험의뢰_장진영!$A:$M,11,0),"")</f>
        <v/>
      </c>
      <c r="R290" s="104" t="str">
        <f>IFERROR(VLOOKUP($A290,[5]실험의뢰_장진영!$A:$M,12,0),"")</f>
        <v/>
      </c>
      <c r="S290" s="104" t="str">
        <f>IFERROR(VLOOKUP($A290,[5]실험의뢰_장진영!$A:$M,13,0),"")</f>
        <v/>
      </c>
      <c r="T290" s="58"/>
    </row>
    <row r="291" spans="1:20" ht="30" customHeight="1">
      <c r="A291" s="99" t="str">
        <f>실험지시[[#This Row],[품목코드]] &amp; "_" &amp; TEXT(실험지시[[#This Row],[실험지시일자]], "yyyymmdd")</f>
        <v>SI1653_20251114</v>
      </c>
      <c r="B291" t="s">
        <v>1459</v>
      </c>
      <c r="C291" s="99" t="str">
        <f>IFERROR(VLOOKUP(실험지시[[#This Row],[제품명]],BOM_개발품목[[제품명]:[사양]],5,0),"")</f>
        <v>M251318_01</v>
      </c>
      <c r="D291" s="112" t="str">
        <f>IFERROR(VLOOKUP(실험지시[[#This Row],[제품명]],BOM_개발품목[[제품명]:[사양]],4,0),"")</f>
        <v>SI1653</v>
      </c>
      <c r="E291" s="1">
        <v>45975</v>
      </c>
      <c r="F291" t="s">
        <v>161</v>
      </c>
      <c r="G291" s="1" t="s">
        <v>499</v>
      </c>
      <c r="I291" s="3"/>
      <c r="J291" s="46">
        <v>14</v>
      </c>
      <c r="L291" s="129" t="str">
        <f>실험지시[[#This Row],[금형코드]]</f>
        <v>M251318_01</v>
      </c>
      <c r="M291" s="131" t="str">
        <f>IFERROR(VLOOKUP($A291,[5]실험의뢰_장진영!$A:$M,5,0),"")</f>
        <v/>
      </c>
      <c r="N291" s="104" t="str">
        <f>IFERROR(VLOOKUP($A291,[5]실험의뢰_장진영!$A:$M,4,0),"")</f>
        <v/>
      </c>
      <c r="O291" s="132" t="str">
        <f>IFERROR(VLOOKUP($A291,[5]실험의뢰_장진영!$A:$M,6,0),"")</f>
        <v/>
      </c>
      <c r="P291" s="99" t="str">
        <f>IFERROR(VLOOKUP(실험지시[[#This Row],[제품명]],BOM_개발품목[[제품명]:[사양]],7,0),"")</f>
        <v>ABS 0670</v>
      </c>
      <c r="Q291" s="104" t="str">
        <f>IFERROR(VLOOKUP($A291,[5]실험의뢰_장진영!$A:$M,11,0),"")</f>
        <v/>
      </c>
      <c r="R291" s="104" t="str">
        <f>IFERROR(VLOOKUP($A291,[5]실험의뢰_장진영!$A:$M,12,0),"")</f>
        <v/>
      </c>
      <c r="S291" s="104" t="str">
        <f>IFERROR(VLOOKUP($A291,[5]실험의뢰_장진영!$A:$M,13,0),"")</f>
        <v/>
      </c>
      <c r="T291" s="58"/>
    </row>
    <row r="292" spans="1:20" ht="30" customHeight="1">
      <c r="A292" s="99" t="str">
        <f>실험지시[[#This Row],[품목코드]] &amp; "_" &amp; TEXT(실험지시[[#This Row],[실험지시일자]], "yyyymmdd")</f>
        <v>SI1620_20251121</v>
      </c>
      <c r="B292" t="s">
        <v>940</v>
      </c>
      <c r="C292" s="99" t="str">
        <f>IFERROR(VLOOKUP(실험지시[[#This Row],[제품명]],BOM_개발품목[[제품명]:[사양]],5,0),"")</f>
        <v>M251190_01</v>
      </c>
      <c r="D292" s="112" t="str">
        <f>IFERROR(VLOOKUP(실험지시[[#This Row],[제품명]],BOM_개발품목[[제품명]:[사양]],4,0),"")</f>
        <v>SI1620</v>
      </c>
      <c r="E292" s="1">
        <v>45982</v>
      </c>
      <c r="F292" t="s">
        <v>74</v>
      </c>
      <c r="G292" s="1" t="s">
        <v>499</v>
      </c>
      <c r="H292" t="s">
        <v>1670</v>
      </c>
      <c r="I292" s="3">
        <v>6</v>
      </c>
      <c r="J292" s="46">
        <v>26</v>
      </c>
      <c r="K292" s="74">
        <v>250801</v>
      </c>
      <c r="L292" s="129" t="str">
        <f>실험지시[[#This Row],[금형코드]]</f>
        <v>M251190_01</v>
      </c>
      <c r="M292" s="131">
        <v>150</v>
      </c>
      <c r="N292" s="104" t="str">
        <f>IFERROR(VLOOKUP($A292,[5]실험의뢰_장진영!$A:$M,4,0),"")</f>
        <v/>
      </c>
      <c r="O292" s="132" t="str">
        <f>IFERROR(VLOOKUP($A292,[5]실험의뢰_장진영!$A:$M,6,0),"")</f>
        <v/>
      </c>
      <c r="P292" s="99" t="str">
        <f>IFERROR(VLOOKUP(실험지시[[#This Row],[제품명]],BOM_개발품목[[제품명]:[사양]],7,0),"")</f>
        <v>ABS (롯데첨단소재 MP-0670)</v>
      </c>
      <c r="Q292" s="104" t="str">
        <f>IFERROR(VLOOKUP($A292,[5]실험의뢰_장진영!$A:$M,11,0),"")</f>
        <v/>
      </c>
      <c r="R292" s="104" t="str">
        <f>IFERROR(VLOOKUP($A292,[5]실험의뢰_장진영!$A:$M,12,0),"")</f>
        <v/>
      </c>
      <c r="S292" s="104" t="str">
        <f>IFERROR(VLOOKUP($A292,[5]실험의뢰_장진영!$A:$M,13,0),"")</f>
        <v/>
      </c>
      <c r="T292" s="58"/>
    </row>
    <row r="293" spans="1:20" ht="30" customHeight="1">
      <c r="A293" s="99" t="str">
        <f>실험지시[[#This Row],[품목코드]] &amp; "_" &amp; TEXT(실험지시[[#This Row],[실험지시일자]], "yyyymmdd")</f>
        <v>SI1617_20251121</v>
      </c>
      <c r="B293" t="s">
        <v>937</v>
      </c>
      <c r="C293" s="99" t="str">
        <f>IFERROR(VLOOKUP(실험지시[[#This Row],[제품명]],BOM_개발품목[[제품명]:[사양]],5,0),"")</f>
        <v>M251188_01</v>
      </c>
      <c r="D293" s="112" t="str">
        <f>IFERROR(VLOOKUP(실험지시[[#This Row],[제품명]],BOM_개발품목[[제품명]:[사양]],4,0),"")</f>
        <v>SI1617</v>
      </c>
      <c r="E293" s="1">
        <v>45982</v>
      </c>
      <c r="F293" t="s">
        <v>74</v>
      </c>
      <c r="G293" s="1" t="s">
        <v>499</v>
      </c>
      <c r="H293" t="s">
        <v>1670</v>
      </c>
      <c r="I293" s="3">
        <v>6</v>
      </c>
      <c r="J293" s="46">
        <v>26</v>
      </c>
      <c r="K293" s="74">
        <v>250725</v>
      </c>
      <c r="L293" s="129" t="str">
        <f>실험지시[[#This Row],[금형코드]]</f>
        <v>M251188_01</v>
      </c>
      <c r="M293" s="131">
        <v>150</v>
      </c>
      <c r="N293" s="104" t="str">
        <f>IFERROR(VLOOKUP($A293,[5]실험의뢰_장진영!$A:$M,4,0),"")</f>
        <v/>
      </c>
      <c r="O293" s="132" t="str">
        <f>IFERROR(VLOOKUP($A293,[5]실험의뢰_장진영!$A:$M,6,0),"")</f>
        <v/>
      </c>
      <c r="P293" s="99" t="str">
        <f>IFERROR(VLOOKUP(실험지시[[#This Row],[제품명]],BOM_개발품목[[제품명]:[사양]],7,0),"")</f>
        <v>ABS (롯데첨단소재 MP-0670)</v>
      </c>
      <c r="Q293" s="104" t="str">
        <f>IFERROR(VLOOKUP($A293,[5]실험의뢰_장진영!$A:$M,11,0),"")</f>
        <v/>
      </c>
      <c r="R293" s="104" t="str">
        <f>IFERROR(VLOOKUP($A293,[5]실험의뢰_장진영!$A:$M,12,0),"")</f>
        <v/>
      </c>
      <c r="S293" s="104" t="str">
        <f>IFERROR(VLOOKUP($A293,[5]실험의뢰_장진영!$A:$M,13,0),"")</f>
        <v/>
      </c>
      <c r="T293" s="58"/>
    </row>
    <row r="294" spans="1:20" ht="30" customHeight="1">
      <c r="A294" s="99" t="str">
        <f>실험지시[[#This Row],[품목코드]] &amp; "_" &amp; TEXT(실험지시[[#This Row],[실험지시일자]], "yyyymmdd")</f>
        <v>SI1618_20251119</v>
      </c>
      <c r="B294" t="s">
        <v>938</v>
      </c>
      <c r="C294" s="99" t="str">
        <f>IFERROR(VLOOKUP(실험지시[[#This Row],[제품명]],BOM_개발품목[[제품명]:[사양]],5,0),"")</f>
        <v>M251187_01</v>
      </c>
      <c r="D294" s="112" t="str">
        <f>IFERROR(VLOOKUP(실험지시[[#This Row],[제품명]],BOM_개발품목[[제품명]:[사양]],4,0),"")</f>
        <v>SI1618</v>
      </c>
      <c r="E294" s="1">
        <v>45980</v>
      </c>
      <c r="F294" t="s">
        <v>114</v>
      </c>
      <c r="G294" s="1" t="s">
        <v>157</v>
      </c>
      <c r="H294" t="s">
        <v>501</v>
      </c>
      <c r="I294" s="3">
        <v>5</v>
      </c>
      <c r="J294" s="46">
        <v>8</v>
      </c>
      <c r="K294" s="74">
        <v>250725</v>
      </c>
      <c r="L294" s="129" t="str">
        <f>실험지시[[#This Row],[금형코드]]</f>
        <v>M251187_01</v>
      </c>
      <c r="M294" s="131">
        <v>150</v>
      </c>
      <c r="N294" s="104" t="str">
        <f>IFERROR(VLOOKUP($A294,[5]실험의뢰_장진영!$A:$M,4,0),"")</f>
        <v/>
      </c>
      <c r="O294" s="132" t="str">
        <f>IFERROR(VLOOKUP($A294,[5]실험의뢰_장진영!$A:$M,6,0),"")</f>
        <v/>
      </c>
      <c r="P294" s="99" t="str">
        <f>IFERROR(VLOOKUP(실험지시[[#This Row],[제품명]],BOM_개발품목[[제품명]:[사양]],7,0),"")</f>
        <v>PP (롯데케미칼 J-560S)</v>
      </c>
      <c r="Q294" s="104" t="str">
        <f>IFERROR(VLOOKUP($A294,[5]실험의뢰_장진영!$A:$M,11,0),"")</f>
        <v/>
      </c>
      <c r="R294" s="104" t="str">
        <f>IFERROR(VLOOKUP($A294,[5]실험의뢰_장진영!$A:$M,12,0),"")</f>
        <v/>
      </c>
      <c r="S294" s="104" t="str">
        <f>IFERROR(VLOOKUP($A294,[5]실험의뢰_장진영!$A:$M,13,0),"")</f>
        <v/>
      </c>
      <c r="T294" s="58"/>
    </row>
    <row r="295" spans="1:20" ht="30" customHeight="1">
      <c r="A295" s="99" t="str">
        <f>실험지시[[#This Row],[품목코드]] &amp; "_" &amp; TEXT(실험지시[[#This Row],[실험지시일자]], "yyyymmdd")</f>
        <v>SI1614_20251119</v>
      </c>
      <c r="B295" t="s">
        <v>934</v>
      </c>
      <c r="C295" s="99" t="str">
        <f>IFERROR(VLOOKUP(실험지시[[#This Row],[제품명]],BOM_개발품목[[제품명]:[사양]],5,0),"")</f>
        <v>M251184_01</v>
      </c>
      <c r="D295" s="112" t="str">
        <f>IFERROR(VLOOKUP(실험지시[[#This Row],[제품명]],BOM_개발품목[[제품명]:[사양]],4,0),"")</f>
        <v>SI1614</v>
      </c>
      <c r="E295" s="1">
        <v>45980</v>
      </c>
      <c r="F295" t="s">
        <v>114</v>
      </c>
      <c r="G295" s="1" t="s">
        <v>341</v>
      </c>
      <c r="H295" t="s">
        <v>1648</v>
      </c>
      <c r="I295" s="3">
        <v>5</v>
      </c>
      <c r="J295" s="46">
        <v>8</v>
      </c>
      <c r="K295" s="74">
        <v>250725</v>
      </c>
      <c r="L295" s="129" t="str">
        <f>실험지시[[#This Row],[금형코드]]</f>
        <v>M251184_01</v>
      </c>
      <c r="M295" s="131">
        <v>150</v>
      </c>
      <c r="N295" s="104" t="str">
        <f>IFERROR(VLOOKUP($A295,[5]실험의뢰_장진영!$A:$M,4,0),"")</f>
        <v/>
      </c>
      <c r="O295" s="132" t="str">
        <f>IFERROR(VLOOKUP($A295,[5]실험의뢰_장진영!$A:$M,6,0),"")</f>
        <v/>
      </c>
      <c r="P295" s="99" t="str">
        <f>IFERROR(VLOOKUP(실험지시[[#This Row],[제품명]],BOM_개발품목[[제품명]:[사양]],7,0),"")</f>
        <v>PP (대한유화 4017) (30%)
PP (다원소재 DW-2360) (70%)</v>
      </c>
      <c r="Q295" s="104" t="str">
        <f>IFERROR(VLOOKUP($A295,[5]실험의뢰_장진영!$A:$M,11,0),"")</f>
        <v/>
      </c>
      <c r="R295" s="104" t="str">
        <f>IFERROR(VLOOKUP($A295,[5]실험의뢰_장진영!$A:$M,12,0),"")</f>
        <v/>
      </c>
      <c r="S295" s="104" t="str">
        <f>IFERROR(VLOOKUP($A295,[5]실험의뢰_장진영!$A:$M,13,0),"")</f>
        <v/>
      </c>
      <c r="T295" s="58"/>
    </row>
    <row r="296" spans="1:20" ht="30" customHeight="1">
      <c r="A296" s="99" t="str">
        <f>실험지시[[#This Row],[품목코드]] &amp; "_" &amp; TEXT(실험지시[[#This Row],[실험지시일자]], "yyyymmdd")</f>
        <v>SI1632_20251121</v>
      </c>
      <c r="B296" t="s">
        <v>927</v>
      </c>
      <c r="C296" s="99" t="str">
        <f>IFERROR(VLOOKUP(실험지시[[#This Row],[제품명]],BOM_개발품목[[제품명]:[사양]],5,0),"")</f>
        <v>M251181_01</v>
      </c>
      <c r="D296" s="112" t="str">
        <f>IFERROR(VLOOKUP(실험지시[[#This Row],[제품명]],BOM_개발품목[[제품명]:[사양]],4,0),"")</f>
        <v>SI1632</v>
      </c>
      <c r="E296" s="1">
        <v>45982</v>
      </c>
      <c r="F296" t="s">
        <v>1672</v>
      </c>
      <c r="G296" s="1" t="s">
        <v>157</v>
      </c>
      <c r="H296" t="s">
        <v>1649</v>
      </c>
      <c r="I296" s="3">
        <v>5</v>
      </c>
      <c r="J296" s="46">
        <v>8</v>
      </c>
      <c r="K296" s="74">
        <v>250708</v>
      </c>
      <c r="L296" s="129" t="str">
        <f>실험지시[[#This Row],[금형코드]]</f>
        <v>M251181_01</v>
      </c>
      <c r="M296" s="131">
        <v>150</v>
      </c>
      <c r="N296" s="104" t="str">
        <f>IFERROR(VLOOKUP($A296,[5]실험의뢰_장진영!$A:$M,4,0),"")</f>
        <v/>
      </c>
      <c r="O296" s="132" t="str">
        <f>IFERROR(VLOOKUP($A296,[5]실험의뢰_장진영!$A:$M,6,0),"")</f>
        <v/>
      </c>
      <c r="P296" s="99" t="str">
        <f>IFERROR(VLOOKUP(실험지시[[#This Row],[제품명]],BOM_개발품목[[제품명]:[사양]],7,0),"")</f>
        <v>PP (롯데케미칼 J-560S)</v>
      </c>
      <c r="Q296" s="104" t="str">
        <f>IFERROR(VLOOKUP($A296,[5]실험의뢰_장진영!$A:$M,11,0),"")</f>
        <v/>
      </c>
      <c r="R296" s="104" t="str">
        <f>IFERROR(VLOOKUP($A296,[5]실험의뢰_장진영!$A:$M,12,0),"")</f>
        <v/>
      </c>
      <c r="S296" s="104" t="str">
        <f>IFERROR(VLOOKUP($A296,[5]실험의뢰_장진영!$A:$M,13,0),"")</f>
        <v/>
      </c>
      <c r="T296" s="58"/>
    </row>
    <row r="297" spans="1:20" ht="30" customHeight="1">
      <c r="A297" s="99" t="str">
        <f>실험지시[[#This Row],[품목코드]] &amp; "_" &amp; TEXT(실험지시[[#This Row],[실험지시일자]], "yyyymmdd")</f>
        <v>SI1628_20251121</v>
      </c>
      <c r="B297" s="58" t="s">
        <v>932</v>
      </c>
      <c r="C297" s="99" t="str">
        <f>IFERROR(VLOOKUP(실험지시[[#This Row],[제품명]],BOM_개발품목[[제품명]:[사양]],5,0),"")</f>
        <v>M251177_01</v>
      </c>
      <c r="D297" s="112" t="str">
        <f>IFERROR(VLOOKUP(실험지시[[#This Row],[제품명]],BOM_개발품목[[제품명]:[사양]],4,0),"")</f>
        <v>SI1628</v>
      </c>
      <c r="E297" s="1">
        <v>45982</v>
      </c>
      <c r="F297" t="s">
        <v>1672</v>
      </c>
      <c r="G297" s="1" t="s">
        <v>157</v>
      </c>
      <c r="H297" t="s">
        <v>1649</v>
      </c>
      <c r="I297" s="3">
        <v>5</v>
      </c>
      <c r="J297" s="46">
        <v>8</v>
      </c>
      <c r="K297" s="74">
        <v>250708</v>
      </c>
      <c r="L297" s="129" t="str">
        <f>실험지시[[#This Row],[금형코드]]</f>
        <v>M251177_01</v>
      </c>
      <c r="M297" s="131">
        <v>150</v>
      </c>
      <c r="N297" s="104" t="str">
        <f>IFERROR(VLOOKUP($A297,[5]실험의뢰_장진영!$A:$M,4,0),"")</f>
        <v/>
      </c>
      <c r="O297" s="132" t="str">
        <f>IFERROR(VLOOKUP($A297,[5]실험의뢰_장진영!$A:$M,6,0),"")</f>
        <v/>
      </c>
      <c r="P297" s="99" t="str">
        <f>IFERROR(VLOOKUP(실험지시[[#This Row],[제품명]],BOM_개발품목[[제품명]:[사양]],7,0),"")</f>
        <v>PP (롯데케미칼 J-560S)</v>
      </c>
      <c r="Q297" s="104" t="str">
        <f>IFERROR(VLOOKUP($A297,[5]실험의뢰_장진영!$A:$M,11,0),"")</f>
        <v/>
      </c>
      <c r="R297" s="104" t="str">
        <f>IFERROR(VLOOKUP($A297,[5]실험의뢰_장진영!$A:$M,12,0),"")</f>
        <v/>
      </c>
      <c r="S297" s="104" t="str">
        <f>IFERROR(VLOOKUP($A297,[5]실험의뢰_장진영!$A:$M,13,0),"")</f>
        <v/>
      </c>
      <c r="T297" s="58"/>
    </row>
    <row r="298" spans="1:20" ht="30" customHeight="1">
      <c r="A298" s="99" t="str">
        <f>실험지시[[#This Row],[품목코드]] &amp; "_" &amp; TEXT(실험지시[[#This Row],[실험지시일자]], "yyyymmdd")</f>
        <v>SI1669_20251124</v>
      </c>
      <c r="B298" t="s">
        <v>1673</v>
      </c>
      <c r="C298" s="99" t="str">
        <f>IFERROR(VLOOKUP(실험지시[[#This Row],[제품명]],BOM_개발품목[[제품명]:[사양]],5,0),"")</f>
        <v>M251357_01</v>
      </c>
      <c r="D298" s="112" t="str">
        <f>IFERROR(VLOOKUP(실험지시[[#This Row],[제품명]],BOM_개발품목[[제품명]:[사양]],4,0),"")</f>
        <v>SI1669</v>
      </c>
      <c r="E298" s="1">
        <v>45985</v>
      </c>
      <c r="F298" t="s">
        <v>161</v>
      </c>
      <c r="G298" s="1" t="s">
        <v>1692</v>
      </c>
      <c r="H298" t="s">
        <v>1702</v>
      </c>
      <c r="I298" s="3">
        <v>2</v>
      </c>
      <c r="J298" s="46">
        <v>20</v>
      </c>
      <c r="L298" s="129" t="str">
        <f>실험지시[[#This Row],[금형코드]]</f>
        <v>M251357_01</v>
      </c>
      <c r="M298" s="131" t="str">
        <f>IFERROR(VLOOKUP($A298,[5]실험의뢰_장진영!$A:$M,5,0),"")</f>
        <v/>
      </c>
      <c r="N298" s="104" t="str">
        <f>IFERROR(VLOOKUP($A298,[5]실험의뢰_장진영!$A:$M,4,0),"")</f>
        <v/>
      </c>
      <c r="O298" s="132" t="str">
        <f>IFERROR(VLOOKUP($A298,[5]실험의뢰_장진영!$A:$M,6,0),"")</f>
        <v/>
      </c>
      <c r="P298" s="99" t="str">
        <f>IFERROR(VLOOKUP(실험지시[[#This Row],[제품명]],BOM_개발품목[[제품명]:[사양]],7,0),"")</f>
        <v>PCR PP (롯데케미칼 J-560S-RC)</v>
      </c>
      <c r="Q298" s="104" t="str">
        <f>IFERROR(VLOOKUP($A298,[5]실험의뢰_장진영!$A:$M,11,0),"")</f>
        <v/>
      </c>
      <c r="R298" s="104" t="str">
        <f>IFERROR(VLOOKUP($A298,[5]실험의뢰_장진영!$A:$M,12,0),"")</f>
        <v/>
      </c>
      <c r="S298" s="104" t="str">
        <f>IFERROR(VLOOKUP($A298,[5]실험의뢰_장진영!$A:$M,13,0),"")</f>
        <v/>
      </c>
      <c r="T298" s="58"/>
    </row>
    <row r="299" spans="1:20" ht="30" customHeight="1">
      <c r="A299" s="99" t="str">
        <f>실험지시[[#This Row],[품목코드]] &amp; "_" &amp; TEXT(실험지시[[#This Row],[실험지시일자]], "yyyymmdd")</f>
        <v>SI1668_20251203</v>
      </c>
      <c r="B299" t="s">
        <v>1683</v>
      </c>
      <c r="C299" s="99" t="str">
        <f>IFERROR(VLOOKUP(실험지시[[#This Row],[제품명]],BOM_개발품목[[제품명]:[사양]],5,0),"")</f>
        <v>M251356_01</v>
      </c>
      <c r="D299" s="112" t="str">
        <f>IFERROR(VLOOKUP(실험지시[[#This Row],[제품명]],BOM_개발품목[[제품명]:[사양]],4,0),"")</f>
        <v>SI1668</v>
      </c>
      <c r="E299" s="1">
        <v>45994</v>
      </c>
      <c r="F299" t="s">
        <v>74</v>
      </c>
      <c r="G299" s="1" t="s">
        <v>157</v>
      </c>
      <c r="H299" t="s">
        <v>1703</v>
      </c>
      <c r="I299" s="3">
        <v>5</v>
      </c>
      <c r="J299" s="46">
        <v>4</v>
      </c>
      <c r="L299" s="129" t="str">
        <f>실험지시[[#This Row],[금형코드]]</f>
        <v>M251356_01</v>
      </c>
      <c r="M299" s="131" t="str">
        <f>IFERROR(VLOOKUP($A299,[5]실험의뢰_장진영!$A:$M,5,0),"")</f>
        <v/>
      </c>
      <c r="N299" s="104" t="str">
        <f>IFERROR(VLOOKUP($A299,[5]실험의뢰_장진영!$A:$M,4,0),"")</f>
        <v/>
      </c>
      <c r="O299" s="132" t="str">
        <f>IFERROR(VLOOKUP($A299,[5]실험의뢰_장진영!$A:$M,6,0),"")</f>
        <v/>
      </c>
      <c r="P299" s="99" t="str">
        <f>IFERROR(VLOOKUP(실험지시[[#This Row],[제품명]],BOM_개발품목[[제품명]:[사양]],7,0),"")</f>
        <v>PP (롯데케미칼 J-560S)</v>
      </c>
      <c r="Q299" s="104" t="str">
        <f>IFERROR(VLOOKUP($A299,[5]실험의뢰_장진영!$A:$M,11,0),"")</f>
        <v/>
      </c>
      <c r="R299" s="104" t="str">
        <f>IFERROR(VLOOKUP($A299,[5]실험의뢰_장진영!$A:$M,12,0),"")</f>
        <v/>
      </c>
      <c r="S299" s="104" t="str">
        <f>IFERROR(VLOOKUP($A299,[5]실험의뢰_장진영!$A:$M,13,0),"")</f>
        <v/>
      </c>
      <c r="T299" s="58"/>
    </row>
    <row r="300" spans="1:20" ht="30" customHeight="1">
      <c r="A300" s="99" t="str">
        <f>실험지시[[#This Row],[품목코드]] &amp; "_" &amp; TEXT(실험지시[[#This Row],[실험지시일자]], "yyyymmdd")</f>
        <v>SI1671_20251203</v>
      </c>
      <c r="B300" t="s">
        <v>1698</v>
      </c>
      <c r="C300" s="99" t="str">
        <f>IFERROR(VLOOKUP(실험지시[[#This Row],[제품명]],BOM_개발품목[[제품명]:[사양]],5,0),"")</f>
        <v>M251359_01</v>
      </c>
      <c r="D300" s="112" t="str">
        <f>IFERROR(VLOOKUP(실험지시[[#This Row],[제품명]],BOM_개발품목[[제품명]:[사양]],4,0),"")</f>
        <v>SI1671</v>
      </c>
      <c r="E300" s="1">
        <v>45994</v>
      </c>
      <c r="F300" t="s">
        <v>74</v>
      </c>
      <c r="G300" s="1" t="s">
        <v>157</v>
      </c>
      <c r="H300" t="s">
        <v>1704</v>
      </c>
      <c r="I300" s="3">
        <v>5</v>
      </c>
      <c r="J300" s="46">
        <v>4</v>
      </c>
      <c r="L300" s="129" t="str">
        <f>실험지시[[#This Row],[금형코드]]</f>
        <v>M251359_01</v>
      </c>
      <c r="M300" s="131" t="str">
        <f>IFERROR(VLOOKUP($A300,[5]실험의뢰_장진영!$A:$M,5,0),"")</f>
        <v/>
      </c>
      <c r="N300" s="104" t="str">
        <f>IFERROR(VLOOKUP($A300,[5]실험의뢰_장진영!$A:$M,4,0),"")</f>
        <v/>
      </c>
      <c r="O300" s="132" t="str">
        <f>IFERROR(VLOOKUP($A300,[5]실험의뢰_장진영!$A:$M,6,0),"")</f>
        <v/>
      </c>
      <c r="P300" s="99" t="str">
        <f>IFERROR(VLOOKUP(실험지시[[#This Row],[제품명]],BOM_개발품목[[제품명]:[사양]],7,0),"")</f>
        <v>PP (롯데케미칼 J-560S)</v>
      </c>
      <c r="Q300" s="104" t="str">
        <f>IFERROR(VLOOKUP($A300,[5]실험의뢰_장진영!$A:$M,11,0),"")</f>
        <v/>
      </c>
      <c r="R300" s="104" t="str">
        <f>IFERROR(VLOOKUP($A300,[5]실험의뢰_장진영!$A:$M,12,0),"")</f>
        <v/>
      </c>
      <c r="S300" s="104" t="str">
        <f>IFERROR(VLOOKUP($A300,[5]실험의뢰_장진영!$A:$M,13,0),"")</f>
        <v/>
      </c>
      <c r="T300" s="58"/>
    </row>
    <row r="301" spans="1:20" ht="30" customHeight="1">
      <c r="A301" s="99" t="str">
        <f>실험지시[[#This Row],[품목코드]] &amp; "_" &amp; TEXT(실험지시[[#This Row],[실험지시일자]], "yyyymmdd")</f>
        <v>SI1656_20251204</v>
      </c>
      <c r="B301" t="s">
        <v>1527</v>
      </c>
      <c r="C301" s="99" t="str">
        <f>IFERROR(VLOOKUP(실험지시[[#This Row],[제품명]],BOM_개발품목[[제품명]:[사양]],5,0),"")</f>
        <v>M241190_02</v>
      </c>
      <c r="D301" s="112" t="str">
        <f>IFERROR(VLOOKUP(실험지시[[#This Row],[제품명]],BOM_개발품목[[제품명]:[사양]],4,0),"")</f>
        <v>SI1656</v>
      </c>
      <c r="E301" s="1">
        <v>45995</v>
      </c>
      <c r="F301" t="s">
        <v>161</v>
      </c>
      <c r="G301" s="1" t="s">
        <v>499</v>
      </c>
      <c r="H301" t="s">
        <v>1705</v>
      </c>
      <c r="I301" s="3">
        <v>4</v>
      </c>
      <c r="J301" s="46">
        <v>18</v>
      </c>
      <c r="L301" s="129" t="str">
        <f>실험지시[[#This Row],[금형코드]]</f>
        <v>M241190_02</v>
      </c>
      <c r="M301" s="131" t="str">
        <f>IFERROR(VLOOKUP($A301,[5]실험의뢰_장진영!$A:$M,5,0),"")</f>
        <v/>
      </c>
      <c r="N301" s="104" t="str">
        <f>IFERROR(VLOOKUP($A301,[5]실험의뢰_장진영!$A:$M,4,0),"")</f>
        <v/>
      </c>
      <c r="O301" s="132" t="str">
        <f>IFERROR(VLOOKUP($A301,[5]실험의뢰_장진영!$A:$M,6,0),"")</f>
        <v/>
      </c>
      <c r="P301" s="99" t="str">
        <f>IFERROR(VLOOKUP(실험지시[[#This Row],[제품명]],BOM_개발품목[[제품명]:[사양]],7,0),"")</f>
        <v>ABS (롯데첨단소재 MP-0670)</v>
      </c>
      <c r="Q301" s="104" t="str">
        <f>IFERROR(VLOOKUP($A301,[5]실험의뢰_장진영!$A:$M,11,0),"")</f>
        <v/>
      </c>
      <c r="R301" s="104" t="str">
        <f>IFERROR(VLOOKUP($A301,[5]실험의뢰_장진영!$A:$M,12,0),"")</f>
        <v/>
      </c>
      <c r="S301" s="104" t="str">
        <f>IFERROR(VLOOKUP($A301,[5]실험의뢰_장진영!$A:$M,13,0),"")</f>
        <v/>
      </c>
      <c r="T301" s="58"/>
    </row>
    <row r="302" spans="1:20" ht="30" customHeight="1">
      <c r="A302" s="99" t="str">
        <f>실험지시[[#This Row],[품목코드]] &amp; "_" &amp; TEXT(실험지시[[#This Row],[실험지시일자]], "yyyymmdd")</f>
        <v>SI1670_20251205</v>
      </c>
      <c r="B302" t="s">
        <v>1694</v>
      </c>
      <c r="C302" s="99" t="str">
        <f>IFERROR(VLOOKUP(실험지시[[#This Row],[제품명]],BOM_개발품목[[제품명]:[사양]],5,0),"")</f>
        <v>M251358_01</v>
      </c>
      <c r="D302" s="112" t="str">
        <f>IFERROR(VLOOKUP(실험지시[[#This Row],[제품명]],BOM_개발품목[[제품명]:[사양]],4,0),"")</f>
        <v>SI1670</v>
      </c>
      <c r="E302" s="1">
        <v>45996</v>
      </c>
      <c r="F302" t="s">
        <v>161</v>
      </c>
      <c r="G302" s="1" t="s">
        <v>1706</v>
      </c>
      <c r="H302" t="s">
        <v>1707</v>
      </c>
      <c r="I302" s="3">
        <v>3</v>
      </c>
      <c r="J302" s="46">
        <v>16</v>
      </c>
      <c r="L302" s="129" t="str">
        <f>실험지시[[#This Row],[금형코드]]</f>
        <v>M251358_01</v>
      </c>
      <c r="M302" s="131" t="str">
        <f>IFERROR(VLOOKUP($A302,[5]실험의뢰_장진영!$A:$M,5,0),"")</f>
        <v/>
      </c>
      <c r="N302" s="104" t="str">
        <f>IFERROR(VLOOKUP($A302,[5]실험의뢰_장진영!$A:$M,4,0),"")</f>
        <v/>
      </c>
      <c r="O302" s="132" t="str">
        <f>IFERROR(VLOOKUP($A302,[5]실험의뢰_장진영!$A:$M,6,0),"")</f>
        <v/>
      </c>
      <c r="P302" s="99" t="str">
        <f>IFERROR(VLOOKUP(실험지시[[#This Row],[제품명]],BOM_개발품목[[제품명]:[사양]],7,0),"")</f>
        <v>PP (롯데케미칼 J-560S)</v>
      </c>
      <c r="Q302" s="104" t="str">
        <f>IFERROR(VLOOKUP($A302,[5]실험의뢰_장진영!$A:$M,11,0),"")</f>
        <v/>
      </c>
      <c r="R302" s="104" t="str">
        <f>IFERROR(VLOOKUP($A302,[5]실험의뢰_장진영!$A:$M,12,0),"")</f>
        <v/>
      </c>
      <c r="S302" s="104" t="str">
        <f>IFERROR(VLOOKUP($A302,[5]실험의뢰_장진영!$A:$M,13,0),"")</f>
        <v/>
      </c>
      <c r="T302" s="58"/>
    </row>
    <row r="303" spans="1:20" ht="30" customHeight="1">
      <c r="A303" s="99" t="str">
        <f>실험지시[[#This Row],[품목코드]] &amp; "_" &amp; TEXT(실험지시[[#This Row],[실험지시일자]], "yyyymmdd")</f>
        <v>SI1669_20251209</v>
      </c>
      <c r="B303" t="s">
        <v>1673</v>
      </c>
      <c r="C303" s="99" t="str">
        <f>IFERROR(VLOOKUP(실험지시[[#This Row],[제품명]],BOM_개발품목[[제품명]:[사양]],5,0),"")</f>
        <v>M251357_01</v>
      </c>
      <c r="D303" s="112" t="str">
        <f>IFERROR(VLOOKUP(실험지시[[#This Row],[제품명]],BOM_개발품목[[제품명]:[사양]],4,0),"")</f>
        <v>SI1669</v>
      </c>
      <c r="E303" s="1">
        <v>46000</v>
      </c>
      <c r="F303" t="s">
        <v>74</v>
      </c>
      <c r="G303" s="1" t="s">
        <v>1692</v>
      </c>
      <c r="H303" t="s">
        <v>1702</v>
      </c>
      <c r="I303" s="3">
        <v>2</v>
      </c>
      <c r="J303" s="46">
        <v>20</v>
      </c>
      <c r="L303" s="129" t="str">
        <f>실험지시[[#This Row],[금형코드]]</f>
        <v>M251357_01</v>
      </c>
      <c r="M303" s="131" t="str">
        <f>IFERROR(VLOOKUP($A303,[5]실험의뢰_장진영!$A:$M,5,0),"")</f>
        <v/>
      </c>
      <c r="N303" s="104" t="str">
        <f>IFERROR(VLOOKUP($A303,[5]실험의뢰_장진영!$A:$M,4,0),"")</f>
        <v/>
      </c>
      <c r="O303" s="132" t="str">
        <f>IFERROR(VLOOKUP($A303,[5]실험의뢰_장진영!$A:$M,6,0),"")</f>
        <v/>
      </c>
      <c r="P303" s="99" t="str">
        <f>IFERROR(VLOOKUP(실험지시[[#This Row],[제품명]],BOM_개발품목[[제품명]:[사양]],7,0),"")</f>
        <v>PCR PP (롯데케미칼 J-560S-RC)</v>
      </c>
      <c r="Q303" s="104" t="str">
        <f>IFERROR(VLOOKUP($A303,[5]실험의뢰_장진영!$A:$M,11,0),"")</f>
        <v/>
      </c>
      <c r="R303" s="104" t="str">
        <f>IFERROR(VLOOKUP($A303,[5]실험의뢰_장진영!$A:$M,12,0),"")</f>
        <v/>
      </c>
      <c r="S303" s="104" t="str">
        <f>IFERROR(VLOOKUP($A303,[5]실험의뢰_장진영!$A:$M,13,0),"")</f>
        <v/>
      </c>
      <c r="T303" s="58"/>
    </row>
    <row r="304" spans="1:20" ht="30" customHeight="1">
      <c r="A304" s="99" t="str">
        <f>실험지시[[#This Row],[품목코드]] &amp; "_" &amp; TEXT(실험지시[[#This Row],[실험지시일자]], "yyyymmdd")</f>
        <v>SI1622_20251215</v>
      </c>
      <c r="B304" t="s">
        <v>942</v>
      </c>
      <c r="C304" s="99" t="str">
        <f>IFERROR(VLOOKUP(실험지시[[#This Row],[제품명]],BOM_개발품목[[제품명]:[사양]],5,0),"")</f>
        <v>M251192_01</v>
      </c>
      <c r="D304" s="112" t="str">
        <f>IFERROR(VLOOKUP(실험지시[[#This Row],[제품명]],BOM_개발품목[[제품명]:[사양]],4,0),"")</f>
        <v>SI1622</v>
      </c>
      <c r="E304" s="1">
        <v>46006</v>
      </c>
      <c r="F304" t="s">
        <v>74</v>
      </c>
      <c r="G304" s="1" t="s">
        <v>1644</v>
      </c>
      <c r="I304" s="3"/>
      <c r="J304" s="46">
        <v>20</v>
      </c>
      <c r="L304" s="129" t="str">
        <f>실험지시[[#This Row],[금형코드]]</f>
        <v>M251192_01</v>
      </c>
      <c r="M304" s="131" t="str">
        <f>IFERROR(VLOOKUP($A304,[5]실험의뢰_장진영!$A:$M,5,0),"")</f>
        <v/>
      </c>
      <c r="N304" s="104" t="str">
        <f>IFERROR(VLOOKUP($A304,[5]실험의뢰_장진영!$A:$M,4,0),"")</f>
        <v/>
      </c>
      <c r="O304" s="132" t="str">
        <f>IFERROR(VLOOKUP($A304,[5]실험의뢰_장진영!$A:$M,6,0),"")</f>
        <v/>
      </c>
      <c r="P304" s="99" t="str">
        <f>IFERROR(VLOOKUP(실험지시[[#This Row],[제품명]],BOM_개발품목[[제품명]:[사양]],7,0),"")</f>
        <v>ABS (롯데첨단소재 MP-0670)</v>
      </c>
      <c r="Q304" s="104" t="str">
        <f>IFERROR(VLOOKUP($A304,[5]실험의뢰_장진영!$A:$M,11,0),"")</f>
        <v/>
      </c>
      <c r="R304" s="104" t="str">
        <f>IFERROR(VLOOKUP($A304,[5]실험의뢰_장진영!$A:$M,12,0),"")</f>
        <v/>
      </c>
      <c r="S304" s="104" t="str">
        <f>IFERROR(VLOOKUP($A304,[5]실험의뢰_장진영!$A:$M,13,0),"")</f>
        <v/>
      </c>
      <c r="T304" s="58"/>
    </row>
    <row r="305" spans="1:20" ht="30" customHeight="1">
      <c r="A305" s="99" t="str">
        <f>실험지시[[#This Row],[품목코드]] &amp; "_" &amp; TEXT(실험지시[[#This Row],[실험지시일자]], "yyyymmdd")</f>
        <v>SI1616_20251215</v>
      </c>
      <c r="B305" t="s">
        <v>936</v>
      </c>
      <c r="C305" s="99" t="str">
        <f>IFERROR(VLOOKUP(실험지시[[#This Row],[제품명]],BOM_개발품목[[제품명]:[사양]],5,0),"")</f>
        <v>M251186_01</v>
      </c>
      <c r="D305" s="112" t="str">
        <f>IFERROR(VLOOKUP(실험지시[[#This Row],[제품명]],BOM_개발품목[[제품명]:[사양]],4,0),"")</f>
        <v>SI1616</v>
      </c>
      <c r="E305" s="1">
        <v>46006</v>
      </c>
      <c r="G305" s="100" t="s">
        <v>484</v>
      </c>
      <c r="H305" t="s">
        <v>1445</v>
      </c>
      <c r="I305" s="3">
        <v>6</v>
      </c>
      <c r="J305" s="46">
        <v>20</v>
      </c>
      <c r="K305" s="74">
        <v>250725</v>
      </c>
      <c r="L305" s="129" t="str">
        <f>실험지시[[#This Row],[금형코드]]</f>
        <v>M251186_01</v>
      </c>
      <c r="M305" s="131" t="str">
        <f>IFERROR(VLOOKUP($A305,[5]실험의뢰_장진영!$A:$M,5,0),"")</f>
        <v/>
      </c>
      <c r="N305" s="104" t="str">
        <f>IFERROR(VLOOKUP($A305,[5]실험의뢰_장진영!$A:$M,4,0),"")</f>
        <v/>
      </c>
      <c r="O305" s="132" t="str">
        <f>IFERROR(VLOOKUP($A305,[5]실험의뢰_장진영!$A:$M,6,0),"")</f>
        <v/>
      </c>
      <c r="P305" s="99" t="str">
        <f>IFERROR(VLOOKUP(실험지시[[#This Row],[제품명]],BOM_개발품목[[제품명]:[사양]],7,0),"")</f>
        <v>Hytrel (Dupont H7246)</v>
      </c>
      <c r="Q305" s="104" t="str">
        <f>IFERROR(VLOOKUP($A305,[5]실험의뢰_장진영!$A:$M,11,0),"")</f>
        <v/>
      </c>
      <c r="R305" s="104" t="str">
        <f>IFERROR(VLOOKUP($A305,[5]실험의뢰_장진영!$A:$M,12,0),"")</f>
        <v/>
      </c>
      <c r="S305" s="104" t="str">
        <f>IFERROR(VLOOKUP($A305,[5]실험의뢰_장진영!$A:$M,13,0),"")</f>
        <v/>
      </c>
      <c r="T305" s="58"/>
    </row>
    <row r="306" spans="1:20" ht="30" customHeight="1">
      <c r="A306" s="99" t="str">
        <f>실험지시[[#This Row],[품목코드]] &amp; "_" &amp; TEXT(실험지시[[#This Row],[실험지시일자]], "yyyymmdd")</f>
        <v>SI1669_20251218</v>
      </c>
      <c r="B306" t="s">
        <v>1688</v>
      </c>
      <c r="C306" s="99" t="str">
        <f>IFERROR(VLOOKUP(실험지시[[#This Row],[제품명]],BOM_개발품목[[제품명]:[사양]],5,0),"")</f>
        <v>M251357_01</v>
      </c>
      <c r="D306" s="112" t="str">
        <f>IFERROR(VLOOKUP(실험지시[[#This Row],[제품명]],BOM_개발품목[[제품명]:[사양]],4,0),"")</f>
        <v>SI1669</v>
      </c>
      <c r="E306" s="1">
        <v>46009</v>
      </c>
      <c r="F306" t="s">
        <v>114</v>
      </c>
      <c r="G306" s="1" t="s">
        <v>1692</v>
      </c>
      <c r="H306" t="s">
        <v>1702</v>
      </c>
      <c r="I306" s="3">
        <v>2</v>
      </c>
      <c r="J306" s="46">
        <v>20</v>
      </c>
      <c r="K306" s="74">
        <v>251104</v>
      </c>
      <c r="L306" s="129" t="str">
        <f>실험지시[[#This Row],[금형코드]]</f>
        <v>M251357_01</v>
      </c>
      <c r="M306" s="131" t="str">
        <f>IFERROR(VLOOKUP($A306,[5]실험의뢰_장진영!$A:$M,5,0),"")</f>
        <v/>
      </c>
      <c r="N306" s="104" t="str">
        <f>IFERROR(VLOOKUP($A306,[5]실험의뢰_장진영!$A:$M,4,0),"")</f>
        <v/>
      </c>
      <c r="O306" s="132" t="str">
        <f>IFERROR(VLOOKUP($A306,[5]실험의뢰_장진영!$A:$M,6,0),"")</f>
        <v/>
      </c>
      <c r="P306" s="99" t="str">
        <f>IFERROR(VLOOKUP(실험지시[[#This Row],[제품명]],BOM_개발품목[[제품명]:[사양]],7,0),"")</f>
        <v>PCR PP (롯데케미칼 J-560S-RC)</v>
      </c>
      <c r="Q306" s="104" t="str">
        <f>IFERROR(VLOOKUP($A306,[5]실험의뢰_장진영!$A:$M,11,0),"")</f>
        <v/>
      </c>
      <c r="R306" s="104" t="str">
        <f>IFERROR(VLOOKUP($A306,[5]실험의뢰_장진영!$A:$M,12,0),"")</f>
        <v/>
      </c>
      <c r="S306" s="104" t="str">
        <f>IFERROR(VLOOKUP($A306,[5]실험의뢰_장진영!$A:$M,13,0),"")</f>
        <v/>
      </c>
      <c r="T306" s="58"/>
    </row>
    <row r="307" spans="1:20" ht="30" customHeight="1">
      <c r="A307" s="99" t="str">
        <f>실험지시[[#This Row],[품목코드]] &amp; "_" &amp; TEXT(실험지시[[#This Row],[실험지시일자]], "yyyymmdd")</f>
        <v>SI1668_20251222</v>
      </c>
      <c r="B307" t="s">
        <v>1683</v>
      </c>
      <c r="C307" s="99" t="str">
        <f>IFERROR(VLOOKUP(실험지시[[#This Row],[제품명]],BOM_개발품목[[제품명]:[사양]],5,0),"")</f>
        <v>M251356_01</v>
      </c>
      <c r="D307" s="112" t="str">
        <f>IFERROR(VLOOKUP(실험지시[[#This Row],[제품명]],BOM_개발품목[[제품명]:[사양]],4,0),"")</f>
        <v>SI1668</v>
      </c>
      <c r="E307" s="1">
        <v>46013</v>
      </c>
      <c r="F307" t="s">
        <v>74</v>
      </c>
      <c r="G307" s="1" t="s">
        <v>1708</v>
      </c>
      <c r="I307" s="3"/>
      <c r="J307" s="46">
        <v>4</v>
      </c>
      <c r="L307" s="129" t="str">
        <f>실험지시[[#This Row],[금형코드]]</f>
        <v>M251356_01</v>
      </c>
      <c r="M307" s="131" t="str">
        <f>IFERROR(VLOOKUP($A307,[5]실험의뢰_장진영!$A:$M,5,0),"")</f>
        <v/>
      </c>
      <c r="N307" s="104" t="str">
        <f>IFERROR(VLOOKUP($A307,[5]실험의뢰_장진영!$A:$M,4,0),"")</f>
        <v/>
      </c>
      <c r="O307" s="132" t="str">
        <f>IFERROR(VLOOKUP($A307,[5]실험의뢰_장진영!$A:$M,6,0),"")</f>
        <v/>
      </c>
      <c r="P307" s="99" t="str">
        <f>IFERROR(VLOOKUP(실험지시[[#This Row],[제품명]],BOM_개발품목[[제품명]:[사양]],7,0),"")</f>
        <v>PP (롯데케미칼 J-560S)</v>
      </c>
      <c r="Q307" s="104" t="str">
        <f>IFERROR(VLOOKUP($A307,[5]실험의뢰_장진영!$A:$M,11,0),"")</f>
        <v/>
      </c>
      <c r="R307" s="104" t="str">
        <f>IFERROR(VLOOKUP($A307,[5]실험의뢰_장진영!$A:$M,12,0),"")</f>
        <v/>
      </c>
      <c r="S307" s="104" t="str">
        <f>IFERROR(VLOOKUP($A307,[5]실험의뢰_장진영!$A:$M,13,0),"")</f>
        <v/>
      </c>
      <c r="T307" s="58"/>
    </row>
    <row r="308" spans="1:20" ht="30" customHeight="1">
      <c r="A308" s="99" t="str">
        <f>실험지시[[#This Row],[품목코드]] &amp; "_" &amp; TEXT(실험지시[[#This Row],[실험지시일자]], "yyyymmdd")</f>
        <v>SI1671_20251222</v>
      </c>
      <c r="B308" t="s">
        <v>1698</v>
      </c>
      <c r="C308" s="99" t="str">
        <f>IFERROR(VLOOKUP(실험지시[[#This Row],[제품명]],BOM_개발품목[[제품명]:[사양]],5,0),"")</f>
        <v>M251359_01</v>
      </c>
      <c r="D308" s="112" t="str">
        <f>IFERROR(VLOOKUP(실험지시[[#This Row],[제품명]],BOM_개발품목[[제품명]:[사양]],4,0),"")</f>
        <v>SI1671</v>
      </c>
      <c r="E308" s="1">
        <v>46013</v>
      </c>
      <c r="F308" t="s">
        <v>74</v>
      </c>
      <c r="G308" s="1" t="s">
        <v>157</v>
      </c>
      <c r="H308" t="s">
        <v>1704</v>
      </c>
      <c r="I308" s="3">
        <v>2.5</v>
      </c>
      <c r="J308" s="46">
        <v>4</v>
      </c>
      <c r="L308" s="129" t="str">
        <f>실험지시[[#This Row],[금형코드]]</f>
        <v>M251359_01</v>
      </c>
      <c r="M308" s="131" t="str">
        <f>IFERROR(VLOOKUP($A308,[5]실험의뢰_장진영!$A:$M,5,0),"")</f>
        <v/>
      </c>
      <c r="N308" s="104" t="str">
        <f>IFERROR(VLOOKUP($A308,[5]실험의뢰_장진영!$A:$M,4,0),"")</f>
        <v/>
      </c>
      <c r="O308" s="132" t="str">
        <f>IFERROR(VLOOKUP($A308,[5]실험의뢰_장진영!$A:$M,6,0),"")</f>
        <v/>
      </c>
      <c r="P308" s="99" t="str">
        <f>IFERROR(VLOOKUP(실험지시[[#This Row],[제품명]],BOM_개발품목[[제품명]:[사양]],7,0),"")</f>
        <v>PP (롯데케미칼 J-560S)</v>
      </c>
      <c r="Q308" s="104" t="str">
        <f>IFERROR(VLOOKUP($A308,[5]실험의뢰_장진영!$A:$M,11,0),"")</f>
        <v/>
      </c>
      <c r="R308" s="104" t="str">
        <f>IFERROR(VLOOKUP($A308,[5]실험의뢰_장진영!$A:$M,12,0),"")</f>
        <v/>
      </c>
      <c r="S308" s="104" t="str">
        <f>IFERROR(VLOOKUP($A308,[5]실험의뢰_장진영!$A:$M,13,0),"")</f>
        <v/>
      </c>
      <c r="T308" s="58"/>
    </row>
    <row r="309" spans="1:20" ht="30" customHeight="1">
      <c r="A309" s="99" t="str">
        <f>실험지시[[#This Row],[품목코드]] &amp; "_" &amp; TEXT(실험지시[[#This Row],[실험지시일자]], "yyyymmdd")</f>
        <v>SI1670_20251218</v>
      </c>
      <c r="B309" t="s">
        <v>1694</v>
      </c>
      <c r="C309" s="99" t="str">
        <f>IFERROR(VLOOKUP(실험지시[[#This Row],[제품명]],BOM_개발품목[[제품명]:[사양]],5,0),"")</f>
        <v>M251358_01</v>
      </c>
      <c r="D309" s="112" t="str">
        <f>IFERROR(VLOOKUP(실험지시[[#This Row],[제품명]],BOM_개발품목[[제품명]:[사양]],4,0),"")</f>
        <v>SI1670</v>
      </c>
      <c r="E309" s="1">
        <v>46009</v>
      </c>
      <c r="F309" t="s">
        <v>161</v>
      </c>
      <c r="G309" s="1" t="s">
        <v>1706</v>
      </c>
      <c r="H309" t="s">
        <v>1707</v>
      </c>
      <c r="I309" s="3">
        <v>3</v>
      </c>
      <c r="J309" s="46">
        <v>8</v>
      </c>
      <c r="L309" s="129" t="str">
        <f>실험지시[[#This Row],[금형코드]]</f>
        <v>M251358_01</v>
      </c>
      <c r="M309" s="131" t="str">
        <f>IFERROR(VLOOKUP($A309,[5]실험의뢰_장진영!$A:$M,5,0),"")</f>
        <v/>
      </c>
      <c r="N309" s="104" t="str">
        <f>IFERROR(VLOOKUP($A309,[5]실험의뢰_장진영!$A:$M,4,0),"")</f>
        <v/>
      </c>
      <c r="O309" s="132" t="str">
        <f>IFERROR(VLOOKUP($A309,[5]실험의뢰_장진영!$A:$M,6,0),"")</f>
        <v/>
      </c>
      <c r="P309" s="99" t="str">
        <f>IFERROR(VLOOKUP(실험지시[[#This Row],[제품명]],BOM_개발품목[[제품명]:[사양]],7,0),"")</f>
        <v>PP (롯데케미칼 J-560S)</v>
      </c>
      <c r="Q309" s="104" t="str">
        <f>IFERROR(VLOOKUP($A309,[5]실험의뢰_장진영!$A:$M,11,0),"")</f>
        <v/>
      </c>
      <c r="R309" s="104" t="str">
        <f>IFERROR(VLOOKUP($A309,[5]실험의뢰_장진영!$A:$M,12,0),"")</f>
        <v/>
      </c>
      <c r="S309" s="104" t="str">
        <f>IFERROR(VLOOKUP($A309,[5]실험의뢰_장진영!$A:$M,13,0),"")</f>
        <v/>
      </c>
      <c r="T309" s="58"/>
    </row>
    <row r="310" spans="1:20" ht="30" customHeight="1">
      <c r="A310" s="99" t="str">
        <f>실험지시[[#This Row],[품목코드]] &amp; "_" &amp; TEXT(실험지시[[#This Row],[실험지시일자]], "yyyymmdd")</f>
        <v>SI1626_20251223</v>
      </c>
      <c r="B310" t="s">
        <v>931</v>
      </c>
      <c r="C310" s="99" t="str">
        <f>IFERROR(VLOOKUP(실험지시[[#This Row],[제품명]],BOM_개발품목[[제품명]:[사양]],5,0),"")</f>
        <v>M251174_01</v>
      </c>
      <c r="D310" s="112" t="str">
        <f>IFERROR(VLOOKUP(실험지시[[#This Row],[제품명]],BOM_개발품목[[제품명]:[사양]],4,0),"")</f>
        <v>SI1626</v>
      </c>
      <c r="E310" s="1">
        <v>46014</v>
      </c>
      <c r="F310" t="s">
        <v>161</v>
      </c>
      <c r="G310" s="1" t="s">
        <v>341</v>
      </c>
      <c r="H310" t="s">
        <v>1648</v>
      </c>
      <c r="I310" s="3">
        <v>6</v>
      </c>
      <c r="J310" s="46">
        <v>22</v>
      </c>
      <c r="K310" s="74">
        <v>250708</v>
      </c>
      <c r="L310" s="129" t="str">
        <f>실험지시[[#This Row],[금형코드]]</f>
        <v>M251174_01</v>
      </c>
      <c r="M310" s="131" t="str">
        <f>IFERROR(VLOOKUP($A310,[5]실험의뢰_장진영!$A:$M,5,0),"")</f>
        <v/>
      </c>
      <c r="N310" s="104" t="str">
        <f>IFERROR(VLOOKUP($A310,[5]실험의뢰_장진영!$A:$M,4,0),"")</f>
        <v/>
      </c>
      <c r="O310" s="132" t="str">
        <f>IFERROR(VLOOKUP($A310,[5]실험의뢰_장진영!$A:$M,6,0),"")</f>
        <v/>
      </c>
      <c r="P310" s="99" t="str">
        <f>IFERROR(VLOOKUP(실험지시[[#This Row],[제품명]],BOM_개발품목[[제품명]:[사양]],7,0),"")</f>
        <v>"PP (대한유화 4017) (30%)
PP (다원소재 DW-2360) (70%)"</v>
      </c>
      <c r="Q310" s="104" t="str">
        <f>IFERROR(VLOOKUP($A310,[5]실험의뢰_장진영!$A:$M,11,0),"")</f>
        <v/>
      </c>
      <c r="R310" s="104" t="str">
        <f>IFERROR(VLOOKUP($A310,[5]실험의뢰_장진영!$A:$M,12,0),"")</f>
        <v/>
      </c>
      <c r="S310" s="104" t="str">
        <f>IFERROR(VLOOKUP($A310,[5]실험의뢰_장진영!$A:$M,13,0),"")</f>
        <v/>
      </c>
      <c r="T310" s="58"/>
    </row>
    <row r="311" spans="1:20" ht="30" customHeight="1">
      <c r="A311" s="99" t="str">
        <f>실험지시[[#This Row],[품목코드]] &amp; "_" &amp; TEXT(실험지시[[#This Row],[실험지시일자]], "yyyymmdd")</f>
        <v>SI1631_20251223</v>
      </c>
      <c r="B311" t="s">
        <v>925</v>
      </c>
      <c r="C311" s="99" t="str">
        <f>IFERROR(VLOOKUP(실험지시[[#This Row],[제품명]],BOM_개발품목[[제품명]:[사양]],5,0),"")</f>
        <v>M251179_01</v>
      </c>
      <c r="D311" s="112" t="str">
        <f>IFERROR(VLOOKUP(실험지시[[#This Row],[제품명]],BOM_개발품목[[제품명]:[사양]],4,0),"")</f>
        <v>SI1631</v>
      </c>
      <c r="E311" s="1">
        <v>46014</v>
      </c>
      <c r="F311" t="s">
        <v>161</v>
      </c>
      <c r="G311" s="1" t="s">
        <v>341</v>
      </c>
      <c r="H311" t="s">
        <v>1648</v>
      </c>
      <c r="I311" s="3">
        <v>6</v>
      </c>
      <c r="J311" s="46">
        <v>22</v>
      </c>
      <c r="K311" s="74">
        <v>250708</v>
      </c>
      <c r="L311" s="129" t="str">
        <f>실험지시[[#This Row],[금형코드]]</f>
        <v>M251179_01</v>
      </c>
      <c r="M311" s="131" t="str">
        <f>IFERROR(VLOOKUP($A311,[5]실험의뢰_장진영!$A:$M,5,0),"")</f>
        <v/>
      </c>
      <c r="N311" s="104" t="str">
        <f>IFERROR(VLOOKUP($A311,[5]실험의뢰_장진영!$A:$M,4,0),"")</f>
        <v/>
      </c>
      <c r="O311" s="132" t="str">
        <f>IFERROR(VLOOKUP($A311,[5]실험의뢰_장진영!$A:$M,6,0),"")</f>
        <v/>
      </c>
      <c r="P311" s="99" t="str">
        <f>IFERROR(VLOOKUP(실험지시[[#This Row],[제품명]],BOM_개발품목[[제품명]:[사양]],7,0),"")</f>
        <v>PP (대한유화 4017) (30%)
PP (다원소재 DW-2360) (70%)</v>
      </c>
      <c r="Q311" s="104" t="str">
        <f>IFERROR(VLOOKUP($A311,[5]실험의뢰_장진영!$A:$M,11,0),"")</f>
        <v/>
      </c>
      <c r="R311" s="104" t="str">
        <f>IFERROR(VLOOKUP($A311,[5]실험의뢰_장진영!$A:$M,12,0),"")</f>
        <v/>
      </c>
      <c r="S311" s="104" t="str">
        <f>IFERROR(VLOOKUP($A311,[5]실험의뢰_장진영!$A:$M,13,0),"")</f>
        <v/>
      </c>
      <c r="T311" s="58"/>
    </row>
    <row r="312" spans="1:20" ht="30" customHeight="1">
      <c r="A312" s="99" t="str">
        <f>실험지시[[#This Row],[품목코드]] &amp; "_" &amp; TEXT(실험지시[[#This Row],[실험지시일자]], "yyyymmdd")</f>
        <v>SI1661_20251225</v>
      </c>
      <c r="B312" t="s">
        <v>1721</v>
      </c>
      <c r="C312" s="99" t="str">
        <f>IFERROR(VLOOKUP(실험지시[[#This Row],[제품명]],BOM_개발품목[[제품명]:[사양]],5,0),"")</f>
        <v>M241293_01</v>
      </c>
      <c r="D312" s="112" t="str">
        <f>IFERROR(VLOOKUP(실험지시[[#This Row],[제품명]],BOM_개발품목[[제품명]:[사양]],4,0),"")</f>
        <v>SI1661</v>
      </c>
      <c r="E312" s="1">
        <v>46016</v>
      </c>
      <c r="F312" t="s">
        <v>74</v>
      </c>
      <c r="G312" s="1" t="s">
        <v>197</v>
      </c>
      <c r="H312" t="s">
        <v>1714</v>
      </c>
      <c r="I312" s="3" t="s">
        <v>1715</v>
      </c>
      <c r="J312" s="46">
        <v>14</v>
      </c>
      <c r="L312" s="129" t="str">
        <f>실험지시[[#This Row],[금형코드]]</f>
        <v>M241293_01</v>
      </c>
      <c r="M312" s="131" t="str">
        <f>IFERROR(VLOOKUP($A312,[5]실험의뢰_장진영!$A:$M,5,0),"")</f>
        <v/>
      </c>
      <c r="N312" s="104" t="str">
        <f>IFERROR(VLOOKUP($A312,[5]실험의뢰_장진영!$A:$M,4,0),"")</f>
        <v/>
      </c>
      <c r="O312" s="132" t="str">
        <f>IFERROR(VLOOKUP($A312,[5]실험의뢰_장진영!$A:$M,6,0),"")</f>
        <v/>
      </c>
      <c r="P312" s="99" t="str">
        <f>IFERROR(VLOOKUP(실험지시[[#This Row],[제품명]],BOM_개발품목[[제품명]:[사양]],7,0),"")</f>
        <v>PETG (SK케미칼 PN200N2)</v>
      </c>
      <c r="Q312" s="104" t="str">
        <f>IFERROR(VLOOKUP($A312,[5]실험의뢰_장진영!$A:$M,11,0),"")</f>
        <v/>
      </c>
      <c r="R312" s="104" t="str">
        <f>IFERROR(VLOOKUP($A312,[5]실험의뢰_장진영!$A:$M,12,0),"")</f>
        <v/>
      </c>
      <c r="S312" s="104" t="str">
        <f>IFERROR(VLOOKUP($A312,[5]실험의뢰_장진영!$A:$M,13,0),"")</f>
        <v/>
      </c>
      <c r="T312" s="58"/>
    </row>
    <row r="313" spans="1:20" ht="30" customHeight="1">
      <c r="A313" s="99" t="str">
        <f>실험지시[[#This Row],[품목코드]] &amp; "_" &amp; TEXT(실험지시[[#This Row],[실험지시일자]], "yyyymmdd")</f>
        <v>SI1665_20251230</v>
      </c>
      <c r="B313" t="s">
        <v>1676</v>
      </c>
      <c r="C313" s="99" t="str">
        <f>IFERROR(VLOOKUP(실험지시[[#This Row],[제품명]],BOM_개발품목[[제품명]:[사양]],5,0),"")</f>
        <v>M201244_03, M201245_04, M110373_02, M110372_01</v>
      </c>
      <c r="D313" s="112" t="str">
        <f>IFERROR(VLOOKUP(실험지시[[#This Row],[제품명]],BOM_개발품목[[제품명]:[사양]],4,0),"")</f>
        <v>SI1665</v>
      </c>
      <c r="E313" s="1">
        <v>46021</v>
      </c>
      <c r="F313" t="s">
        <v>74</v>
      </c>
      <c r="G313" s="1" t="s">
        <v>1716</v>
      </c>
      <c r="H313" t="s">
        <v>1647</v>
      </c>
      <c r="I313" s="3">
        <v>6</v>
      </c>
      <c r="J313" s="46">
        <v>14</v>
      </c>
      <c r="L313" s="129" t="str">
        <f>실험지시[[#This Row],[금형코드]]</f>
        <v>M201244_03, M201245_04, M110373_02, M110372_01</v>
      </c>
      <c r="M313" s="131" t="str">
        <f>IFERROR(VLOOKUP($A313,[5]실험의뢰_장진영!$A:$M,5,0),"")</f>
        <v/>
      </c>
      <c r="N313" s="104" t="str">
        <f>IFERROR(VLOOKUP($A313,[5]실험의뢰_장진영!$A:$M,4,0),"")</f>
        <v/>
      </c>
      <c r="O313" s="132" t="str">
        <f>IFERROR(VLOOKUP($A313,[5]실험의뢰_장진영!$A:$M,6,0),"")</f>
        <v/>
      </c>
      <c r="P313" s="99" t="str">
        <f>IFERROR(VLOOKUP(실험지시[[#This Row],[제품명]],BOM_개발품목[[제품명]:[사양]],7,0),"")</f>
        <v>PETG (SK케미칼 PN200)</v>
      </c>
      <c r="Q313" s="104" t="str">
        <f>IFERROR(VLOOKUP($A313,[5]실험의뢰_장진영!$A:$M,11,0),"")</f>
        <v/>
      </c>
      <c r="R313" s="104" t="str">
        <f>IFERROR(VLOOKUP($A313,[5]실험의뢰_장진영!$A:$M,12,0),"")</f>
        <v/>
      </c>
      <c r="S313" s="104" t="str">
        <f>IFERROR(VLOOKUP($A313,[5]실험의뢰_장진영!$A:$M,13,0),"")</f>
        <v/>
      </c>
      <c r="T313" s="58"/>
    </row>
    <row r="314" spans="1:20" ht="30" customHeight="1">
      <c r="A314" s="99" t="str">
        <f>실험지시[[#This Row],[품목코드]] &amp; "_" &amp; TEXT(실험지시[[#This Row],[실험지시일자]], "yyyymmdd")</f>
        <v>SI1666_20251231</v>
      </c>
      <c r="B314" t="s">
        <v>1679</v>
      </c>
      <c r="C314" s="99" t="str">
        <f>IFERROR(VLOOKUP(실험지시[[#This Row],[제품명]],BOM_개발품목[[제품명]:[사양]],5,0),"")</f>
        <v>M201246_02, M110375_01</v>
      </c>
      <c r="D314" s="112" t="str">
        <f>IFERROR(VLOOKUP(실험지시[[#This Row],[제품명]],BOM_개발품목[[제품명]:[사양]],4,0),"")</f>
        <v>SI1666</v>
      </c>
      <c r="E314" s="1">
        <v>46022</v>
      </c>
      <c r="F314" t="s">
        <v>114</v>
      </c>
      <c r="G314" s="1" t="s">
        <v>499</v>
      </c>
      <c r="H314" t="s">
        <v>1717</v>
      </c>
      <c r="I314" s="3">
        <v>4</v>
      </c>
      <c r="J314" s="46">
        <v>26</v>
      </c>
      <c r="L314" s="129" t="str">
        <f>실험지시[[#This Row],[금형코드]]</f>
        <v>M201246_02, M110375_01</v>
      </c>
      <c r="M314" s="131" t="str">
        <f>IFERROR(VLOOKUP($A314,[5]실험의뢰_장진영!$A:$M,5,0),"")</f>
        <v/>
      </c>
      <c r="N314" s="104" t="str">
        <f>IFERROR(VLOOKUP($A314,[5]실험의뢰_장진영!$A:$M,4,0),"")</f>
        <v/>
      </c>
      <c r="O314" s="132" t="str">
        <f>IFERROR(VLOOKUP($A314,[5]실험의뢰_장진영!$A:$M,6,0),"")</f>
        <v/>
      </c>
      <c r="P314" s="99" t="str">
        <f>IFERROR(VLOOKUP(실험지시[[#This Row],[제품명]],BOM_개발품목[[제품명]:[사양]],7,0),"")</f>
        <v>ABS (롯데첨단소재 MP-0670)</v>
      </c>
      <c r="Q314" s="104" t="str">
        <f>IFERROR(VLOOKUP($A314,[5]실험의뢰_장진영!$A:$M,11,0),"")</f>
        <v/>
      </c>
      <c r="R314" s="104" t="str">
        <f>IFERROR(VLOOKUP($A314,[5]실험의뢰_장진영!$A:$M,12,0),"")</f>
        <v/>
      </c>
      <c r="S314" s="104" t="str">
        <f>IFERROR(VLOOKUP($A314,[5]실험의뢰_장진영!$A:$M,13,0),"")</f>
        <v/>
      </c>
      <c r="T314" s="58"/>
    </row>
    <row r="315" spans="1:20" ht="30" customHeight="1">
      <c r="A315" s="99" t="str">
        <f>실험지시[[#This Row],[품목코드]] &amp; "_" &amp; TEXT(실험지시[[#This Row],[실험지시일자]], "yyyymmdd")</f>
        <v>SI1663_20251231</v>
      </c>
      <c r="B315" t="s">
        <v>1734</v>
      </c>
      <c r="C315" s="99" t="str">
        <f>IFERROR(VLOOKUP(실험지시[[#This Row],[제품명]],BOM_개발품목[[제품명]:[사양]],5,0),"")</f>
        <v>M231121_01</v>
      </c>
      <c r="D315" s="112" t="str">
        <f>IFERROR(VLOOKUP(실험지시[[#This Row],[제품명]],BOM_개발품목[[제품명]:[사양]],4,0),"")</f>
        <v>SI1663</v>
      </c>
      <c r="E315" s="1">
        <v>46022</v>
      </c>
      <c r="F315" t="s">
        <v>114</v>
      </c>
      <c r="G315" s="1" t="s">
        <v>499</v>
      </c>
      <c r="H315" t="s">
        <v>1754</v>
      </c>
      <c r="I315" s="3">
        <v>4</v>
      </c>
      <c r="J315" s="46">
        <v>26</v>
      </c>
      <c r="L315" s="129" t="str">
        <f>실험지시[[#This Row],[금형코드]]</f>
        <v>M231121_01</v>
      </c>
      <c r="M315" s="131" t="str">
        <f>IFERROR(VLOOKUP($A315,[5]실험의뢰_장진영!$A:$M,5,0),"")</f>
        <v/>
      </c>
      <c r="N315" s="104" t="str">
        <f>IFERROR(VLOOKUP($A315,[5]실험의뢰_장진영!$A:$M,4,0),"")</f>
        <v/>
      </c>
      <c r="O315" s="132" t="str">
        <f>IFERROR(VLOOKUP($A315,[5]실험의뢰_장진영!$A:$M,6,0),"")</f>
        <v/>
      </c>
      <c r="P315" s="99" t="str">
        <f>IFERROR(VLOOKUP(실험지시[[#This Row],[제품명]],BOM_개발품목[[제품명]:[사양]],7,0),"")</f>
        <v>PCR ABS (LG화학 MRC380L5(50%))</v>
      </c>
      <c r="Q315" s="104" t="str">
        <f>IFERROR(VLOOKUP($A315,[5]실험의뢰_장진영!$A:$M,11,0),"")</f>
        <v/>
      </c>
      <c r="R315" s="104" t="str">
        <f>IFERROR(VLOOKUP($A315,[5]실험의뢰_장진영!$A:$M,12,0),"")</f>
        <v/>
      </c>
      <c r="S315" s="104" t="str">
        <f>IFERROR(VLOOKUP($A315,[5]실험의뢰_장진영!$A:$M,13,0),"")</f>
        <v/>
      </c>
      <c r="T315" s="58"/>
    </row>
    <row r="316" spans="1:20" ht="30" customHeight="1">
      <c r="A316" s="99" t="str">
        <f>실험지시[[#This Row],[품목코드]] &amp; "_" &amp; TEXT(실험지시[[#This Row],[실험지시일자]], "yyyymmdd")</f>
        <v>SI1664_20251231</v>
      </c>
      <c r="B316" t="s">
        <v>1736</v>
      </c>
      <c r="C316" s="99" t="str">
        <f>IFERROR(VLOOKUP(실험지시[[#This Row],[제품명]],BOM_개발품목[[제품명]:[사양]],5,0),"")</f>
        <v>M231122_01</v>
      </c>
      <c r="D316" s="112" t="str">
        <f>IFERROR(VLOOKUP(실험지시[[#This Row],[제품명]],BOM_개발품목[[제품명]:[사양]],4,0),"")</f>
        <v>SI1664</v>
      </c>
      <c r="E316" s="1">
        <v>46022</v>
      </c>
      <c r="F316" t="s">
        <v>1672</v>
      </c>
      <c r="G316" s="1" t="s">
        <v>157</v>
      </c>
      <c r="H316" t="s">
        <v>1753</v>
      </c>
      <c r="I316" s="3">
        <v>4</v>
      </c>
      <c r="J316" s="46">
        <v>4</v>
      </c>
      <c r="L316" s="129" t="str">
        <f>실험지시[[#This Row],[금형코드]]</f>
        <v>M231122_01</v>
      </c>
      <c r="M316" s="131" t="str">
        <f>IFERROR(VLOOKUP($A316,[5]실험의뢰_장진영!$A:$M,5,0),"")</f>
        <v/>
      </c>
      <c r="N316" s="104" t="str">
        <f>IFERROR(VLOOKUP($A316,[5]실험의뢰_장진영!$A:$M,4,0),"")</f>
        <v/>
      </c>
      <c r="O316" s="132" t="str">
        <f>IFERROR(VLOOKUP($A316,[5]실험의뢰_장진영!$A:$M,6,0),"")</f>
        <v/>
      </c>
      <c r="P316" s="99" t="str">
        <f>IFERROR(VLOOKUP(실험지시[[#This Row],[제품명]],BOM_개발품목[[제품명]:[사양]],7,0),"")</f>
        <v>PP (롯데케미칼 J-560S)</v>
      </c>
      <c r="Q316" s="104" t="str">
        <f>IFERROR(VLOOKUP($A316,[5]실험의뢰_장진영!$A:$M,11,0),"")</f>
        <v/>
      </c>
      <c r="R316" s="104" t="str">
        <f>IFERROR(VLOOKUP($A316,[5]실험의뢰_장진영!$A:$M,12,0),"")</f>
        <v/>
      </c>
      <c r="S316" s="104" t="str">
        <f>IFERROR(VLOOKUP($A316,[5]실험의뢰_장진영!$A:$M,13,0),"")</f>
        <v/>
      </c>
      <c r="T316" s="58"/>
    </row>
    <row r="317" spans="1:20" ht="30" customHeight="1">
      <c r="A317" s="99" t="str">
        <f>실험지시[[#This Row],[품목코드]] &amp; "_" &amp; TEXT(실험지시[[#This Row],[실험지시일자]], "yyyymmdd")</f>
        <v>SI1662_20251231</v>
      </c>
      <c r="B317" t="s">
        <v>1724</v>
      </c>
      <c r="C317" s="99" t="str">
        <f>IFERROR(VLOOKUP(실험지시[[#This Row],[제품명]],BOM_개발품목[[제품명]:[사양]],5,0),"")</f>
        <v>M231119_01</v>
      </c>
      <c r="D317" s="112" t="str">
        <f>IFERROR(VLOOKUP(실험지시[[#This Row],[제품명]],BOM_개발품목[[제품명]:[사양]],4,0),"")</f>
        <v>SI1662</v>
      </c>
      <c r="E317" s="1">
        <v>46022</v>
      </c>
      <c r="F317" t="s">
        <v>289</v>
      </c>
      <c r="G317" s="1" t="s">
        <v>157</v>
      </c>
      <c r="H317" t="s">
        <v>1753</v>
      </c>
      <c r="I317" s="3">
        <v>4</v>
      </c>
      <c r="J317" s="46">
        <v>14</v>
      </c>
      <c r="L317" s="129" t="str">
        <f>실험지시[[#This Row],[금형코드]]</f>
        <v>M231119_01</v>
      </c>
      <c r="M317" s="131" t="str">
        <f>IFERROR(VLOOKUP($A317,[5]실험의뢰_장진영!$A:$M,5,0),"")</f>
        <v/>
      </c>
      <c r="N317" s="104" t="str">
        <f>IFERROR(VLOOKUP($A317,[5]실험의뢰_장진영!$A:$M,4,0),"")</f>
        <v/>
      </c>
      <c r="O317" s="132" t="str">
        <f>IFERROR(VLOOKUP($A317,[5]실험의뢰_장진영!$A:$M,6,0),"")</f>
        <v/>
      </c>
      <c r="P317" s="99" t="str">
        <f>IFERROR(VLOOKUP(실험지시[[#This Row],[제품명]],BOM_개발품목[[제품명]:[사양]],7,0),"")</f>
        <v>PP (롯데케미칼 J-560S)</v>
      </c>
      <c r="Q317" s="104" t="str">
        <f>IFERROR(VLOOKUP($A317,[5]실험의뢰_장진영!$A:$M,11,0),"")</f>
        <v/>
      </c>
      <c r="R317" s="104" t="str">
        <f>IFERROR(VLOOKUP($A317,[5]실험의뢰_장진영!$A:$M,12,0),"")</f>
        <v/>
      </c>
      <c r="S317" s="104" t="str">
        <f>IFERROR(VLOOKUP($A317,[5]실험의뢰_장진영!$A:$M,13,0),"")</f>
        <v/>
      </c>
      <c r="T317" s="58"/>
    </row>
    <row r="318" spans="1:20" ht="30" customHeight="1">
      <c r="A318" s="99" t="str">
        <f>실험지시[[#This Row],[품목코드]] &amp; "_" &amp; TEXT(실험지시[[#This Row],[실험지시일자]], "yyyymmdd")</f>
        <v>SI1661_20260105</v>
      </c>
      <c r="B318" t="s">
        <v>1721</v>
      </c>
      <c r="C318" s="99" t="str">
        <f>IFERROR(VLOOKUP(실험지시[[#This Row],[제품명]],BOM_개발품목[[제품명]:[사양]],5,0),"")</f>
        <v>M241293_01</v>
      </c>
      <c r="D318" s="112" t="str">
        <f>IFERROR(VLOOKUP(실험지시[[#This Row],[제품명]],BOM_개발품목[[제품명]:[사양]],4,0),"")</f>
        <v>SI1661</v>
      </c>
      <c r="E318" s="1">
        <v>46027</v>
      </c>
      <c r="F318" t="s">
        <v>114</v>
      </c>
      <c r="G318" s="1" t="s">
        <v>197</v>
      </c>
      <c r="H318" t="s">
        <v>1755</v>
      </c>
      <c r="I318" s="3">
        <v>4</v>
      </c>
      <c r="J318" s="46">
        <v>14</v>
      </c>
      <c r="L318" s="129" t="str">
        <f>실험지시[[#This Row],[금형코드]]</f>
        <v>M241293_01</v>
      </c>
      <c r="M318" s="131" t="str">
        <f>IFERROR(VLOOKUP($A318,[5]실험의뢰_장진영!$A:$M,5,0),"")</f>
        <v/>
      </c>
      <c r="N318" s="104" t="str">
        <f>IFERROR(VLOOKUP($A318,[5]실험의뢰_장진영!$A:$M,4,0),"")</f>
        <v/>
      </c>
      <c r="O318" s="132" t="str">
        <f>IFERROR(VLOOKUP($A318,[5]실험의뢰_장진영!$A:$M,6,0),"")</f>
        <v/>
      </c>
      <c r="P318" s="99" t="str">
        <f>IFERROR(VLOOKUP(실험지시[[#This Row],[제품명]],BOM_개발품목[[제품명]:[사양]],7,0),"")</f>
        <v>PETG (SK케미칼 PN200N2)</v>
      </c>
      <c r="Q318" s="104" t="str">
        <f>IFERROR(VLOOKUP($A318,[5]실험의뢰_장진영!$A:$M,11,0),"")</f>
        <v/>
      </c>
      <c r="R318" s="104" t="str">
        <f>IFERROR(VLOOKUP($A318,[5]실험의뢰_장진영!$A:$M,12,0),"")</f>
        <v/>
      </c>
      <c r="S318" s="104" t="str">
        <f>IFERROR(VLOOKUP($A318,[5]실험의뢰_장진영!$A:$M,13,0),"")</f>
        <v/>
      </c>
      <c r="T318" s="58"/>
    </row>
    <row r="319" spans="1:20" ht="30" customHeight="1">
      <c r="A319" s="99" t="str">
        <f>실험지시[[#This Row],[품목코드]] &amp; "_" &amp; TEXT(실험지시[[#This Row],[실험지시일자]], "yyyymmdd")</f>
        <v>SI1665_20260105</v>
      </c>
      <c r="B319" t="s">
        <v>1676</v>
      </c>
      <c r="C319" s="99" t="str">
        <f>IFERROR(VLOOKUP(실험지시[[#This Row],[제품명]],BOM_개발품목[[제품명]:[사양]],5,0),"")</f>
        <v>M201244_03, M201245_04, M110373_02, M110372_01</v>
      </c>
      <c r="D319" s="112" t="str">
        <f>IFERROR(VLOOKUP(실험지시[[#This Row],[제품명]],BOM_개발품목[[제품명]:[사양]],4,0),"")</f>
        <v>SI1665</v>
      </c>
      <c r="E319" s="1">
        <v>46027</v>
      </c>
      <c r="F319" t="s">
        <v>74</v>
      </c>
      <c r="G319" s="1" t="s">
        <v>1716</v>
      </c>
      <c r="H319" t="s">
        <v>1647</v>
      </c>
      <c r="I319" s="3">
        <v>6</v>
      </c>
      <c r="J319" s="46">
        <v>32</v>
      </c>
      <c r="L319" s="129" t="str">
        <f>실험지시[[#This Row],[금형코드]]</f>
        <v>M201244_03, M201245_04, M110373_02, M110372_01</v>
      </c>
      <c r="M319" s="131" t="str">
        <f>IFERROR(VLOOKUP($A319,[5]실험의뢰_장진영!$A:$M,5,0),"")</f>
        <v/>
      </c>
      <c r="N319" s="104" t="str">
        <f>IFERROR(VLOOKUP($A319,[5]실험의뢰_장진영!$A:$M,4,0),"")</f>
        <v/>
      </c>
      <c r="O319" s="132" t="str">
        <f>IFERROR(VLOOKUP($A319,[5]실험의뢰_장진영!$A:$M,6,0),"")</f>
        <v/>
      </c>
      <c r="P319" s="99" t="str">
        <f>IFERROR(VLOOKUP(실험지시[[#This Row],[제품명]],BOM_개발품목[[제품명]:[사양]],7,0),"")</f>
        <v>PETG (SK케미칼 PN200)</v>
      </c>
      <c r="Q319" s="104" t="str">
        <f>IFERROR(VLOOKUP($A319,[5]실험의뢰_장진영!$A:$M,11,0),"")</f>
        <v/>
      </c>
      <c r="R319" s="104" t="str">
        <f>IFERROR(VLOOKUP($A319,[5]실험의뢰_장진영!$A:$M,12,0),"")</f>
        <v/>
      </c>
      <c r="S319" s="104" t="str">
        <f>IFERROR(VLOOKUP($A319,[5]실험의뢰_장진영!$A:$M,13,0),"")</f>
        <v/>
      </c>
      <c r="T319" s="58"/>
    </row>
    <row r="320" spans="1:20" ht="30" customHeight="1">
      <c r="A320" s="99" t="str">
        <f>실험지시[[#This Row],[품목코드]] &amp; "_" &amp; TEXT(실험지시[[#This Row],[실험지시일자]], "yyyymmdd")</f>
        <v>SI1668_20260112</v>
      </c>
      <c r="B320" t="s">
        <v>1683</v>
      </c>
      <c r="C320" s="99" t="str">
        <f>IFERROR(VLOOKUP(실험지시[[#This Row],[제품명]],BOM_개발품목[[제품명]:[사양]],5,0),"")</f>
        <v>M251356_01</v>
      </c>
      <c r="D320" s="112" t="str">
        <f>IFERROR(VLOOKUP(실험지시[[#This Row],[제품명]],BOM_개발품목[[제품명]:[사양]],4,0),"")</f>
        <v>SI1668</v>
      </c>
      <c r="E320" s="1">
        <v>46034</v>
      </c>
      <c r="F320" t="s">
        <v>161</v>
      </c>
      <c r="G320" s="1" t="s">
        <v>157</v>
      </c>
      <c r="H320" t="s">
        <v>1757</v>
      </c>
      <c r="I320" s="3">
        <v>5</v>
      </c>
      <c r="J320" s="46">
        <v>3</v>
      </c>
      <c r="L320" s="129" t="str">
        <f>실험지시[[#This Row],[금형코드]]</f>
        <v>M251356_01</v>
      </c>
      <c r="M320" s="131" t="str">
        <f>IFERROR(VLOOKUP($A320,[5]실험의뢰_장진영!$A:$M,5,0),"")</f>
        <v/>
      </c>
      <c r="N320" s="104" t="str">
        <f>IFERROR(VLOOKUP($A320,[5]실험의뢰_장진영!$A:$M,4,0),"")</f>
        <v/>
      </c>
      <c r="O320" s="132" t="str">
        <f>IFERROR(VLOOKUP($A320,[5]실험의뢰_장진영!$A:$M,6,0),"")</f>
        <v/>
      </c>
      <c r="P320" s="99" t="str">
        <f>IFERROR(VLOOKUP(실험지시[[#This Row],[제품명]],BOM_개발품목[[제품명]:[사양]],7,0),"")</f>
        <v>PP (롯데케미칼 J-560S)</v>
      </c>
      <c r="Q320" s="104" t="str">
        <f>IFERROR(VLOOKUP($A320,[5]실험의뢰_장진영!$A:$M,11,0),"")</f>
        <v/>
      </c>
      <c r="R320" s="104" t="str">
        <f>IFERROR(VLOOKUP($A320,[5]실험의뢰_장진영!$A:$M,12,0),"")</f>
        <v/>
      </c>
      <c r="S320" s="104" t="str">
        <f>IFERROR(VLOOKUP($A320,[5]실험의뢰_장진영!$A:$M,13,0),"")</f>
        <v/>
      </c>
      <c r="T320" s="58"/>
    </row>
    <row r="321" spans="1:20" ht="30" customHeight="1">
      <c r="A321" s="99" t="str">
        <f>실험지시[[#This Row],[품목코드]] &amp; "_" &amp; TEXT(실험지시[[#This Row],[실험지시일자]], "yyyymmdd")</f>
        <v>SI1671_20260112</v>
      </c>
      <c r="B321" t="s">
        <v>1698</v>
      </c>
      <c r="C321" s="99" t="str">
        <f>IFERROR(VLOOKUP(실험지시[[#This Row],[제품명]],BOM_개발품목[[제품명]:[사양]],5,0),"")</f>
        <v>M251359_01</v>
      </c>
      <c r="D321" s="112" t="str">
        <f>IFERROR(VLOOKUP(실험지시[[#This Row],[제품명]],BOM_개발품목[[제품명]:[사양]],4,0),"")</f>
        <v>SI1671</v>
      </c>
      <c r="E321" s="1">
        <v>46034</v>
      </c>
      <c r="F321" t="s">
        <v>74</v>
      </c>
      <c r="G321" s="1" t="s">
        <v>157</v>
      </c>
      <c r="H321" t="s">
        <v>1704</v>
      </c>
      <c r="I321" s="3">
        <v>2.5</v>
      </c>
      <c r="J321" s="46">
        <v>14</v>
      </c>
      <c r="L321" s="129" t="str">
        <f>실험지시[[#This Row],[금형코드]]</f>
        <v>M251359_01</v>
      </c>
      <c r="M321" s="131" t="str">
        <f>IFERROR(VLOOKUP($A321,[5]실험의뢰_장진영!$A:$M,5,0),"")</f>
        <v/>
      </c>
      <c r="N321" s="104" t="str">
        <f>IFERROR(VLOOKUP($A321,[5]실험의뢰_장진영!$A:$M,4,0),"")</f>
        <v/>
      </c>
      <c r="O321" s="132" t="str">
        <f>IFERROR(VLOOKUP($A321,[5]실험의뢰_장진영!$A:$M,6,0),"")</f>
        <v/>
      </c>
      <c r="P321" s="99" t="str">
        <f>IFERROR(VLOOKUP(실험지시[[#This Row],[제품명]],BOM_개발품목[[제품명]:[사양]],7,0),"")</f>
        <v>PP (롯데케미칼 J-560S)</v>
      </c>
      <c r="Q321" s="104" t="str">
        <f>IFERROR(VLOOKUP($A321,[5]실험의뢰_장진영!$A:$M,11,0),"")</f>
        <v/>
      </c>
      <c r="R321" s="104" t="str">
        <f>IFERROR(VLOOKUP($A321,[5]실험의뢰_장진영!$A:$M,12,0),"")</f>
        <v/>
      </c>
      <c r="S321" s="104" t="str">
        <f>IFERROR(VLOOKUP($A321,[5]실험의뢰_장진영!$A:$M,13,0),"")</f>
        <v/>
      </c>
      <c r="T321" s="58"/>
    </row>
    <row r="322" spans="1:20" ht="30" customHeight="1">
      <c r="A322" s="99" t="str">
        <f>실험지시[[#This Row],[품목코드]] &amp; "_" &amp; TEXT(실험지시[[#This Row],[실험지시일자]], "yyyymmdd")</f>
        <v>SI1669_20260113</v>
      </c>
      <c r="B322" t="s">
        <v>1688</v>
      </c>
      <c r="C322" s="99" t="str">
        <f>IFERROR(VLOOKUP(실험지시[[#This Row],[제품명]],BOM_개발품목[[제품명]:[사양]],5,0),"")</f>
        <v>M251357_01</v>
      </c>
      <c r="D322" s="112" t="str">
        <f>IFERROR(VLOOKUP(실험지시[[#This Row],[제품명]],BOM_개발품목[[제품명]:[사양]],4,0),"")</f>
        <v>SI1669</v>
      </c>
      <c r="E322" s="1">
        <v>46035</v>
      </c>
      <c r="F322" t="s">
        <v>289</v>
      </c>
      <c r="G322" s="1" t="s">
        <v>1692</v>
      </c>
      <c r="H322" t="s">
        <v>1702</v>
      </c>
      <c r="I322" s="3">
        <v>2</v>
      </c>
      <c r="J322" s="46">
        <v>13</v>
      </c>
      <c r="K322" s="74">
        <v>251104</v>
      </c>
      <c r="L322" s="129" t="str">
        <f>실험지시[[#This Row],[금형코드]]</f>
        <v>M251357_01</v>
      </c>
      <c r="M322" s="131" t="str">
        <f>IFERROR(VLOOKUP($A322,[5]실험의뢰_장진영!$A:$M,5,0),"")</f>
        <v/>
      </c>
      <c r="N322" s="104" t="str">
        <f>IFERROR(VLOOKUP($A322,[5]실험의뢰_장진영!$A:$M,4,0),"")</f>
        <v/>
      </c>
      <c r="O322" s="132" t="str">
        <f>IFERROR(VLOOKUP($A322,[5]실험의뢰_장진영!$A:$M,6,0),"")</f>
        <v/>
      </c>
      <c r="P322" s="99" t="str">
        <f>IFERROR(VLOOKUP(실험지시[[#This Row],[제품명]],BOM_개발품목[[제품명]:[사양]],7,0),"")</f>
        <v>PCR PP (롯데케미칼 J-560S-RC)</v>
      </c>
      <c r="Q322" s="104" t="str">
        <f>IFERROR(VLOOKUP($A322,[5]실험의뢰_장진영!$A:$M,11,0),"")</f>
        <v/>
      </c>
      <c r="R322" s="104" t="str">
        <f>IFERROR(VLOOKUP($A322,[5]실험의뢰_장진영!$A:$M,12,0),"")</f>
        <v/>
      </c>
      <c r="S322" s="104" t="str">
        <f>IFERROR(VLOOKUP($A322,[5]실험의뢰_장진영!$A:$M,13,0),"")</f>
        <v/>
      </c>
      <c r="T322" s="58"/>
    </row>
    <row r="323" spans="1:20" ht="30" customHeight="1">
      <c r="A323" s="99" t="str">
        <f>실험지시[[#This Row],[품목코드]] &amp; "_" &amp; TEXT(실험지시[[#This Row],[실험지시일자]], "yyyymmdd")</f>
        <v>SI1672_20260113</v>
      </c>
      <c r="B323" t="s">
        <v>1739</v>
      </c>
      <c r="C323" s="99" t="str">
        <f>IFERROR(VLOOKUP(실험지시[[#This Row],[제품명]],BOM_개발품목[[제품명]:[사양]],5,0),"")</f>
        <v>S251017_01</v>
      </c>
      <c r="D323" s="112" t="str">
        <f>IFERROR(VLOOKUP(실험지시[[#This Row],[제품명]],BOM_개발품목[[제품명]:[사양]],4,0),"")</f>
        <v>SI1672</v>
      </c>
      <c r="E323" s="1">
        <v>46035</v>
      </c>
      <c r="F323" t="s">
        <v>74</v>
      </c>
      <c r="G323" s="1" t="s">
        <v>499</v>
      </c>
      <c r="I323" s="3"/>
      <c r="J323" s="46">
        <v>14</v>
      </c>
      <c r="L323" s="129" t="str">
        <f>실험지시[[#This Row],[금형코드]]</f>
        <v>S251017_01</v>
      </c>
      <c r="M323" s="131" t="str">
        <f>IFERROR(VLOOKUP($A323,[5]실험의뢰_장진영!$A:$M,5,0),"")</f>
        <v/>
      </c>
      <c r="N323" s="104" t="s">
        <v>850</v>
      </c>
      <c r="O323" s="132" t="str">
        <f>IFERROR(VLOOKUP($A323,[5]실험의뢰_장진영!$A:$M,6,0),"")</f>
        <v/>
      </c>
      <c r="P323" s="99" t="str">
        <f>IFERROR(VLOOKUP(실험지시[[#This Row],[제품명]],BOM_개발품목[[제품명]:[사양]],7,0),"")</f>
        <v>ABS (롯데첨단소재 MP-0670)</v>
      </c>
      <c r="Q323" s="104" t="str">
        <f>IFERROR(VLOOKUP($A323,[5]실험의뢰_장진영!$A:$M,11,0),"")</f>
        <v/>
      </c>
      <c r="R323" s="104" t="str">
        <f>IFERROR(VLOOKUP($A323,[5]실험의뢰_장진영!$A:$M,12,0),"")</f>
        <v/>
      </c>
      <c r="S323" s="104" t="str">
        <f>IFERROR(VLOOKUP($A323,[5]실험의뢰_장진영!$A:$M,13,0),"")</f>
        <v/>
      </c>
      <c r="T323" s="58"/>
    </row>
    <row r="324" spans="1:20" ht="30" customHeight="1">
      <c r="A324" s="99" t="str">
        <f>실험지시[[#This Row],[품목코드]] &amp; "_" &amp; TEXT(실험지시[[#This Row],[실험지시일자]], "yyyymmdd")</f>
        <v>SI1673_20260113</v>
      </c>
      <c r="B324" t="s">
        <v>1742</v>
      </c>
      <c r="C324" s="99" t="str">
        <f>IFERROR(VLOOKUP(실험지시[[#This Row],[제품명]],BOM_개발품목[[제품명]:[사양]],5,0),"")</f>
        <v>S251017_01</v>
      </c>
      <c r="D324" s="112" t="str">
        <f>IFERROR(VLOOKUP(실험지시[[#This Row],[제품명]],BOM_개발품목[[제품명]:[사양]],4,0),"")</f>
        <v>SI1673</v>
      </c>
      <c r="E324" s="1">
        <v>46035</v>
      </c>
      <c r="F324" t="s">
        <v>74</v>
      </c>
      <c r="G324" s="1" t="s">
        <v>499</v>
      </c>
      <c r="I324" s="3" t="s">
        <v>1756</v>
      </c>
      <c r="J324" s="46">
        <v>14</v>
      </c>
      <c r="L324" s="129" t="str">
        <f>실험지시[[#This Row],[금형코드]]</f>
        <v>S251017_01</v>
      </c>
      <c r="M324" s="131" t="str">
        <f>IFERROR(VLOOKUP($A324,[5]실험의뢰_장진영!$A:$M,5,0),"")</f>
        <v/>
      </c>
      <c r="N324" s="104" t="s">
        <v>850</v>
      </c>
      <c r="O324" s="132" t="str">
        <f>IFERROR(VLOOKUP($A324,[5]실험의뢰_장진영!$A:$M,6,0),"")</f>
        <v/>
      </c>
      <c r="P324" s="99" t="str">
        <f>IFERROR(VLOOKUP(실험지시[[#This Row],[제품명]],BOM_개발품목[[제품명]:[사양]],7,0),"")</f>
        <v>ABS (롯데첨단소재 MP-0670)</v>
      </c>
      <c r="Q324" s="104" t="str">
        <f>IFERROR(VLOOKUP($A324,[5]실험의뢰_장진영!$A:$M,11,0),"")</f>
        <v/>
      </c>
      <c r="R324" s="104" t="str">
        <f>IFERROR(VLOOKUP($A324,[5]실험의뢰_장진영!$A:$M,12,0),"")</f>
        <v/>
      </c>
      <c r="S324" s="104" t="str">
        <f>IFERROR(VLOOKUP($A324,[5]실험의뢰_장진영!$A:$M,13,0),"")</f>
        <v/>
      </c>
      <c r="T324" s="58"/>
    </row>
    <row r="325" spans="1:20" ht="30" customHeight="1">
      <c r="A325" s="99" t="str">
        <f>실험지시[[#This Row],[품목코드]] &amp; "_" &amp; TEXT(실험지시[[#This Row],[실험지시일자]], "yyyymmdd")</f>
        <v>SI1674_20260113</v>
      </c>
      <c r="B325" t="s">
        <v>1744</v>
      </c>
      <c r="C325" s="99" t="str">
        <f>IFERROR(VLOOKUP(실험지시[[#This Row],[제품명]],BOM_개발품목[[제품명]:[사양]],5,0),"")</f>
        <v>S251019_01</v>
      </c>
      <c r="D325" s="112" t="str">
        <f>IFERROR(VLOOKUP(실험지시[[#This Row],[제품명]],BOM_개발품목[[제품명]:[사양]],4,0),"")</f>
        <v>SI1674</v>
      </c>
      <c r="E325" s="1">
        <v>46035</v>
      </c>
      <c r="F325" t="s">
        <v>74</v>
      </c>
      <c r="G325" s="1" t="s">
        <v>157</v>
      </c>
      <c r="I325" s="3"/>
      <c r="J325" s="46">
        <v>14</v>
      </c>
      <c r="L325" s="129" t="str">
        <f>실험지시[[#This Row],[금형코드]]</f>
        <v>S251019_01</v>
      </c>
      <c r="M325" s="131" t="str">
        <f>IFERROR(VLOOKUP($A325,[5]실험의뢰_장진영!$A:$M,5,0),"")</f>
        <v/>
      </c>
      <c r="N325" s="104" t="str">
        <f>IFERROR(VLOOKUP($A325,[5]실험의뢰_장진영!$A:$M,4,0),"")</f>
        <v/>
      </c>
      <c r="O325" s="132" t="str">
        <f>IFERROR(VLOOKUP($A325,[5]실험의뢰_장진영!$A:$M,6,0),"")</f>
        <v/>
      </c>
      <c r="P325" s="99" t="str">
        <f>IFERROR(VLOOKUP(실험지시[[#This Row],[제품명]],BOM_개발품목[[제품명]:[사양]],7,0),"")</f>
        <v>PP (롯데케미칼 J-560S)</v>
      </c>
      <c r="Q325" s="104" t="str">
        <f>IFERROR(VLOOKUP($A325,[5]실험의뢰_장진영!$A:$M,11,0),"")</f>
        <v/>
      </c>
      <c r="R325" s="104" t="str">
        <f>IFERROR(VLOOKUP($A325,[5]실험의뢰_장진영!$A:$M,12,0),"")</f>
        <v/>
      </c>
      <c r="S325" s="104" t="str">
        <f>IFERROR(VLOOKUP($A325,[5]실험의뢰_장진영!$A:$M,13,0),"")</f>
        <v/>
      </c>
      <c r="T325" s="58"/>
    </row>
    <row r="326" spans="1:20" ht="30" customHeight="1">
      <c r="A326" s="99" t="str">
        <f>실험지시[[#This Row],[품목코드]] &amp; "_" &amp; TEXT(실험지시[[#This Row],[실험지시일자]], "yyyymmdd")</f>
        <v>SI1676_20260123</v>
      </c>
      <c r="B326" t="s">
        <v>1746</v>
      </c>
      <c r="C326" s="99" t="str">
        <f>IFERROR(VLOOKUP(실험지시[[#This Row],[제품명]],BOM_개발품목[[제품명]:[사양]],5,0),"")</f>
        <v>S251018_01</v>
      </c>
      <c r="D326" s="112" t="str">
        <f>IFERROR(VLOOKUP(실험지시[[#This Row],[제품명]],BOM_개발품목[[제품명]:[사양]],4,0),"")</f>
        <v>SI1676</v>
      </c>
      <c r="E326" s="1">
        <v>46045</v>
      </c>
      <c r="F326" t="s">
        <v>74</v>
      </c>
      <c r="G326" s="1" t="s">
        <v>157</v>
      </c>
      <c r="I326" s="3"/>
      <c r="J326" s="46">
        <v>23</v>
      </c>
      <c r="L326" s="129" t="str">
        <f>실험지시[[#This Row],[금형코드]]</f>
        <v>S251018_01</v>
      </c>
      <c r="M326" s="131" t="str">
        <f>IFERROR(VLOOKUP($A326,[5]실험의뢰_장진영!$A:$M,5,0),"")</f>
        <v/>
      </c>
      <c r="N326" s="104" t="s">
        <v>850</v>
      </c>
      <c r="O326" s="132" t="str">
        <f>IFERROR(VLOOKUP($A326,[5]실험의뢰_장진영!$A:$M,6,0),"")</f>
        <v/>
      </c>
      <c r="P326" s="99" t="str">
        <f>IFERROR(VLOOKUP(실험지시[[#This Row],[제품명]],BOM_개발품목[[제품명]:[사양]],7,0),"")</f>
        <v>PP+PE</v>
      </c>
      <c r="Q326" s="104" t="str">
        <f>IFERROR(VLOOKUP($A326,[5]실험의뢰_장진영!$A:$M,11,0),"")</f>
        <v/>
      </c>
      <c r="R326" s="104" t="str">
        <f>IFERROR(VLOOKUP($A326,[5]실험의뢰_장진영!$A:$M,12,0),"")</f>
        <v/>
      </c>
      <c r="S326" s="104" t="str">
        <f>IFERROR(VLOOKUP($A326,[5]실험의뢰_장진영!$A:$M,13,0),"")</f>
        <v/>
      </c>
      <c r="T326" s="58"/>
    </row>
    <row r="327" spans="1:20" ht="30" customHeight="1">
      <c r="A327" s="99" t="str">
        <f>실험지시[[#This Row],[품목코드]] &amp; "_" &amp; TEXT(실험지시[[#This Row],[실험지시일자]], "yyyymmdd")</f>
        <v>SI1675_20260123</v>
      </c>
      <c r="B327" t="s">
        <v>1749</v>
      </c>
      <c r="C327" s="99" t="str">
        <f>IFERROR(VLOOKUP(실험지시[[#This Row],[제품명]],BOM_개발품목[[제품명]:[사양]],5,0),"")</f>
        <v>S251018_01</v>
      </c>
      <c r="D327" s="112" t="str">
        <f>IFERROR(VLOOKUP(실험지시[[#This Row],[제품명]],BOM_개발품목[[제품명]:[사양]],4,0),"")</f>
        <v>SI1675</v>
      </c>
      <c r="E327" s="1">
        <v>46045</v>
      </c>
      <c r="F327" t="s">
        <v>74</v>
      </c>
      <c r="G327" s="1" t="s">
        <v>157</v>
      </c>
      <c r="I327" s="3"/>
      <c r="J327" s="46">
        <v>23</v>
      </c>
      <c r="L327" s="129" t="str">
        <f>실험지시[[#This Row],[금형코드]]</f>
        <v>S251018_01</v>
      </c>
      <c r="M327" s="131" t="str">
        <f>IFERROR(VLOOKUP($A327,[5]실험의뢰_장진영!$A:$M,5,0),"")</f>
        <v/>
      </c>
      <c r="N327" s="104" t="s">
        <v>850</v>
      </c>
      <c r="O327" s="132" t="str">
        <f>IFERROR(VLOOKUP($A327,[5]실험의뢰_장진영!$A:$M,6,0),"")</f>
        <v/>
      </c>
      <c r="P327" s="99" t="str">
        <f>IFERROR(VLOOKUP(실험지시[[#This Row],[제품명]],BOM_개발품목[[제품명]:[사양]],7,0),"")</f>
        <v>PP+PE</v>
      </c>
      <c r="Q327" s="104" t="str">
        <f>IFERROR(VLOOKUP($A327,[5]실험의뢰_장진영!$A:$M,11,0),"")</f>
        <v/>
      </c>
      <c r="R327" s="104" t="str">
        <f>IFERROR(VLOOKUP($A327,[5]실험의뢰_장진영!$A:$M,12,0),"")</f>
        <v/>
      </c>
      <c r="S327" s="104" t="str">
        <f>IFERROR(VLOOKUP($A327,[5]실험의뢰_장진영!$A:$M,13,0),"")</f>
        <v/>
      </c>
      <c r="T327" s="58"/>
    </row>
    <row r="328" spans="1:20" ht="30" customHeight="1">
      <c r="A328" s="99" t="str">
        <f>실험지시[[#This Row],[품목코드]] &amp; "_" &amp; TEXT(실험지시[[#This Row],[실험지시일자]], "yyyymmdd")</f>
        <v>SI1667_20260116</v>
      </c>
      <c r="B328" t="s">
        <v>1682</v>
      </c>
      <c r="C328" s="99" t="str">
        <f>IFERROR(VLOOKUP(실험지시[[#This Row],[제품명]],BOM_개발품목[[제품명]:[사양]],5,0),"")</f>
        <v>M110374_01</v>
      </c>
      <c r="D328" s="112" t="str">
        <f>IFERROR(VLOOKUP(실험지시[[#This Row],[제품명]],BOM_개발품목[[제품명]:[사양]],4,0),"")</f>
        <v>SI1667</v>
      </c>
      <c r="E328" s="1">
        <v>46038</v>
      </c>
      <c r="F328" s="103" t="s">
        <v>288</v>
      </c>
      <c r="G328" s="1" t="s">
        <v>157</v>
      </c>
      <c r="H328" t="s">
        <v>1645</v>
      </c>
      <c r="I328" s="3">
        <v>2</v>
      </c>
      <c r="J328" s="46">
        <v>8</v>
      </c>
      <c r="L328" s="129" t="str">
        <f>실험지시[[#This Row],[금형코드]]</f>
        <v>M110374_01</v>
      </c>
      <c r="M328" s="131" t="str">
        <f>IFERROR(VLOOKUP($A328,[5]실험의뢰_장진영!$A:$M,5,0),"")</f>
        <v/>
      </c>
      <c r="N328" s="104" t="str">
        <f>IFERROR(VLOOKUP($A328,[5]실험의뢰_장진영!$A:$M,4,0),"")</f>
        <v/>
      </c>
      <c r="O328" s="132" t="str">
        <f>IFERROR(VLOOKUP($A328,[5]실험의뢰_장진영!$A:$M,6,0),"")</f>
        <v/>
      </c>
      <c r="P328" s="99" t="str">
        <f>IFERROR(VLOOKUP(실험지시[[#This Row],[제품명]],BOM_개발품목[[제품명]:[사양]],7,0),"")</f>
        <v>PP (롯데케미칼 J-560S)</v>
      </c>
      <c r="Q328" s="104" t="str">
        <f>IFERROR(VLOOKUP($A328,[5]실험의뢰_장진영!$A:$M,11,0),"")</f>
        <v/>
      </c>
      <c r="R328" s="104" t="str">
        <f>IFERROR(VLOOKUP($A328,[5]실험의뢰_장진영!$A:$M,12,0),"")</f>
        <v/>
      </c>
      <c r="S328" s="104" t="str">
        <f>IFERROR(VLOOKUP($A328,[5]실험의뢰_장진영!$A:$M,13,0),"")</f>
        <v/>
      </c>
      <c r="T328" s="58"/>
    </row>
    <row r="329" spans="1:20" ht="30" customHeight="1">
      <c r="A329" s="99" t="str">
        <f>실험지시[[#This Row],[품목코드]] &amp; "_" &amp; TEXT(실험지시[[#This Row],[실험지시일자]], "yyyymmdd")</f>
        <v>SI1627_20260120</v>
      </c>
      <c r="B329" t="s">
        <v>933</v>
      </c>
      <c r="C329" s="99" t="str">
        <f>IFERROR(VLOOKUP(실험지시[[#This Row],[제품명]],BOM_개발품목[[제품명]:[사양]],5,0),"")</f>
        <v>M251176_01</v>
      </c>
      <c r="D329" s="112" t="str">
        <f>IFERROR(VLOOKUP(실험지시[[#This Row],[제품명]],BOM_개발품목[[제품명]:[사양]],4,0),"")</f>
        <v>SI1627</v>
      </c>
      <c r="E329" s="1">
        <v>46042</v>
      </c>
      <c r="F329" t="s">
        <v>114</v>
      </c>
      <c r="G329" s="1" t="s">
        <v>499</v>
      </c>
      <c r="H329" t="s">
        <v>500</v>
      </c>
      <c r="I329" s="3">
        <v>5</v>
      </c>
      <c r="J329" s="46">
        <v>22</v>
      </c>
      <c r="L329" s="129" t="str">
        <f>실험지시[[#This Row],[금형코드]]</f>
        <v>M251176_01</v>
      </c>
      <c r="M329" s="131" t="str">
        <f>IFERROR(VLOOKUP($A329,[5]실험의뢰_장진영!$A:$M,5,0),"")</f>
        <v/>
      </c>
      <c r="N329" s="104" t="str">
        <f>IFERROR(VLOOKUP($A329,[5]실험의뢰_장진영!$A:$M,4,0),"")</f>
        <v/>
      </c>
      <c r="O329" s="132" t="str">
        <f>IFERROR(VLOOKUP($A329,[5]실험의뢰_장진영!$A:$M,6,0),"")</f>
        <v/>
      </c>
      <c r="P329" s="99" t="str">
        <f>IFERROR(VLOOKUP(실험지시[[#This Row],[제품명]],BOM_개발품목[[제품명]:[사양]],7,0),"")</f>
        <v>ABS (롯데첨단소재 MP-0670)</v>
      </c>
      <c r="Q329" s="104" t="str">
        <f>IFERROR(VLOOKUP($A329,[5]실험의뢰_장진영!$A:$M,11,0),"")</f>
        <v/>
      </c>
      <c r="R329" s="104" t="str">
        <f>IFERROR(VLOOKUP($A329,[5]실험의뢰_장진영!$A:$M,12,0),"")</f>
        <v/>
      </c>
      <c r="S329" s="104" t="str">
        <f>IFERROR(VLOOKUP($A329,[5]실험의뢰_장진영!$A:$M,13,0),"")</f>
        <v/>
      </c>
      <c r="T329" s="58"/>
    </row>
    <row r="330" spans="1:20" ht="30" customHeight="1">
      <c r="A330" s="99" t="str">
        <f>실험지시[[#This Row],[품목코드]] &amp; "_" &amp; TEXT(실험지시[[#This Row],[실험지시일자]], "yyyymmdd")</f>
        <v>SI1614_20260116</v>
      </c>
      <c r="B330" t="s">
        <v>934</v>
      </c>
      <c r="C330" s="99" t="str">
        <f>IFERROR(VLOOKUP(실험지시[[#This Row],[제품명]],BOM_개발품목[[제품명]:[사양]],5,0),"")</f>
        <v>M251184_01</v>
      </c>
      <c r="D330" s="112" t="str">
        <f>IFERROR(VLOOKUP(실험지시[[#This Row],[제품명]],BOM_개발품목[[제품명]:[사양]],4,0),"")</f>
        <v>SI1614</v>
      </c>
      <c r="E330" s="1">
        <v>46038</v>
      </c>
      <c r="F330" t="s">
        <v>114</v>
      </c>
      <c r="G330" s="1" t="s">
        <v>341</v>
      </c>
      <c r="H330" t="s">
        <v>1648</v>
      </c>
      <c r="I330" s="3">
        <v>5</v>
      </c>
      <c r="J330" s="46">
        <v>8</v>
      </c>
      <c r="K330" s="74">
        <v>250725</v>
      </c>
      <c r="L330" s="129" t="str">
        <f>실험지시[[#This Row],[금형코드]]</f>
        <v>M251184_01</v>
      </c>
      <c r="M330" s="131" t="str">
        <f>IFERROR(VLOOKUP($A330,[5]실험의뢰_장진영!$A:$M,5,0),"")</f>
        <v/>
      </c>
      <c r="N330" s="104" t="str">
        <f>IFERROR(VLOOKUP($A330,[5]실험의뢰_장진영!$A:$M,4,0),"")</f>
        <v/>
      </c>
      <c r="O330" s="132" t="str">
        <f>IFERROR(VLOOKUP($A330,[5]실험의뢰_장진영!$A:$M,6,0),"")</f>
        <v/>
      </c>
      <c r="P330" s="99" t="str">
        <f>IFERROR(VLOOKUP(실험지시[[#This Row],[제품명]],BOM_개발품목[[제품명]:[사양]],7,0),"")</f>
        <v>PP (대한유화 4017) (30%)
PP (다원소재 DW-2360) (70%)</v>
      </c>
      <c r="Q330" s="104" t="str">
        <f>IFERROR(VLOOKUP($A330,[5]실험의뢰_장진영!$A:$M,11,0),"")</f>
        <v/>
      </c>
      <c r="R330" s="104" t="str">
        <f>IFERROR(VLOOKUP($A330,[5]실험의뢰_장진영!$A:$M,12,0),"")</f>
        <v/>
      </c>
      <c r="S330" s="104" t="str">
        <f>IFERROR(VLOOKUP($A330,[5]실험의뢰_장진영!$A:$M,13,0),"")</f>
        <v/>
      </c>
      <c r="T330" s="58"/>
    </row>
    <row r="331" spans="1:20" ht="30" customHeight="1">
      <c r="A331" s="99" t="str">
        <f>실험지시[[#This Row],[품목코드]] &amp; "_" &amp; TEXT(실험지시[[#This Row],[실험지시일자]], "yyyymmdd")</f>
        <v>SI1672_20260123</v>
      </c>
      <c r="B331" t="s">
        <v>1739</v>
      </c>
      <c r="C331" s="99" t="str">
        <f>IFERROR(VLOOKUP(실험지시[[#This Row],[제품명]],BOM_개발품목[[제품명]:[사양]],5,0),"")</f>
        <v>S251017_01</v>
      </c>
      <c r="D331" s="112" t="str">
        <f>IFERROR(VLOOKUP(실험지시[[#This Row],[제품명]],BOM_개발품목[[제품명]:[사양]],4,0),"")</f>
        <v>SI1672</v>
      </c>
      <c r="E331" s="1">
        <v>46045</v>
      </c>
      <c r="F331" t="s">
        <v>74</v>
      </c>
      <c r="G331" s="1" t="s">
        <v>499</v>
      </c>
      <c r="I331" s="3"/>
      <c r="J331" s="46">
        <v>23</v>
      </c>
      <c r="L331" s="129" t="str">
        <f>실험지시[[#This Row],[금형코드]]</f>
        <v>S251017_01</v>
      </c>
      <c r="M331" s="131" t="str">
        <f>IFERROR(VLOOKUP($A331,[5]실험의뢰_장진영!$A:$M,5,0),"")</f>
        <v/>
      </c>
      <c r="N331" s="104" t="s">
        <v>1760</v>
      </c>
      <c r="O331" s="132" t="str">
        <f>IFERROR(VLOOKUP($A331,[5]실험의뢰_장진영!$A:$M,6,0),"")</f>
        <v/>
      </c>
      <c r="P331" s="99" t="str">
        <f>IFERROR(VLOOKUP(실험지시[[#This Row],[제품명]],BOM_개발품목[[제품명]:[사양]],7,0),"")</f>
        <v>ABS (롯데첨단소재 MP-0670)</v>
      </c>
      <c r="Q331" s="104" t="str">
        <f>IFERROR(VLOOKUP($A331,[5]실험의뢰_장진영!$A:$M,11,0),"")</f>
        <v/>
      </c>
      <c r="R331" s="104" t="str">
        <f>IFERROR(VLOOKUP($A331,[5]실험의뢰_장진영!$A:$M,12,0),"")</f>
        <v/>
      </c>
      <c r="S331" s="104" t="str">
        <f>IFERROR(VLOOKUP($A331,[5]실험의뢰_장진영!$A:$M,13,0),"")</f>
        <v/>
      </c>
      <c r="T331" s="58"/>
    </row>
    <row r="332" spans="1:20" ht="30" customHeight="1">
      <c r="A332" s="99" t="str">
        <f>실험지시[[#This Row],[품목코드]] &amp; "_" &amp; TEXT(실험지시[[#This Row],[실험지시일자]], "yyyymmdd")</f>
        <v>SI1673_20260123</v>
      </c>
      <c r="B332" t="s">
        <v>1742</v>
      </c>
      <c r="C332" s="99" t="str">
        <f>IFERROR(VLOOKUP(실험지시[[#This Row],[제품명]],BOM_개발품목[[제품명]:[사양]],5,0),"")</f>
        <v>S251017_01</v>
      </c>
      <c r="D332" s="112" t="str">
        <f>IFERROR(VLOOKUP(실험지시[[#This Row],[제품명]],BOM_개발품목[[제품명]:[사양]],4,0),"")</f>
        <v>SI1673</v>
      </c>
      <c r="E332" s="1">
        <v>46045</v>
      </c>
      <c r="F332" t="s">
        <v>74</v>
      </c>
      <c r="G332" s="1" t="s">
        <v>499</v>
      </c>
      <c r="I332" s="3"/>
      <c r="J332" s="46">
        <v>23</v>
      </c>
      <c r="L332" s="129" t="str">
        <f>실험지시[[#This Row],[금형코드]]</f>
        <v>S251017_01</v>
      </c>
      <c r="M332" s="131" t="str">
        <f>IFERROR(VLOOKUP($A332,[5]실험의뢰_장진영!$A:$M,5,0),"")</f>
        <v/>
      </c>
      <c r="N332" s="104" t="s">
        <v>1760</v>
      </c>
      <c r="O332" s="132" t="str">
        <f>IFERROR(VLOOKUP($A332,[5]실험의뢰_장진영!$A:$M,6,0),"")</f>
        <v/>
      </c>
      <c r="P332" s="99" t="str">
        <f>IFERROR(VLOOKUP(실험지시[[#This Row],[제품명]],BOM_개발품목[[제품명]:[사양]],7,0),"")</f>
        <v>ABS (롯데첨단소재 MP-0670)</v>
      </c>
      <c r="Q332" s="104" t="str">
        <f>IFERROR(VLOOKUP($A332,[5]실험의뢰_장진영!$A:$M,11,0),"")</f>
        <v/>
      </c>
      <c r="R332" s="104" t="str">
        <f>IFERROR(VLOOKUP($A332,[5]실험의뢰_장진영!$A:$M,12,0),"")</f>
        <v/>
      </c>
      <c r="S332" s="104" t="str">
        <f>IFERROR(VLOOKUP($A332,[5]실험의뢰_장진영!$A:$M,13,0),"")</f>
        <v/>
      </c>
      <c r="T332" s="58"/>
    </row>
    <row r="333" spans="1:20" ht="30" customHeight="1">
      <c r="A333" s="99" t="str">
        <f>실험지시[[#This Row],[품목코드]] &amp; "_" &amp; TEXT(실험지시[[#This Row],[실험지시일자]], "yyyymmdd")</f>
        <v>SI1625_20260123</v>
      </c>
      <c r="B333" t="s">
        <v>930</v>
      </c>
      <c r="C333" s="99" t="str">
        <f>IFERROR(VLOOKUP(실험지시[[#This Row],[제품명]],BOM_개발품목[[제품명]:[사양]],5,0),"")</f>
        <v>M251175_01</v>
      </c>
      <c r="D333" s="112" t="str">
        <f>IFERROR(VLOOKUP(실험지시[[#This Row],[제품명]],BOM_개발품목[[제품명]:[사양]],4,0),"")</f>
        <v>SI1625</v>
      </c>
      <c r="E333" s="1">
        <v>46045</v>
      </c>
      <c r="F333" t="s">
        <v>114</v>
      </c>
      <c r="G333" s="1" t="s">
        <v>499</v>
      </c>
      <c r="H333" t="s">
        <v>500</v>
      </c>
      <c r="I333" s="3">
        <v>5</v>
      </c>
      <c r="J333" s="46">
        <v>17</v>
      </c>
      <c r="L333" s="129" t="str">
        <f>실험지시[[#This Row],[금형코드]]</f>
        <v>M251175_01</v>
      </c>
      <c r="M333" s="131">
        <v>300</v>
      </c>
      <c r="N333" s="104" t="s">
        <v>1759</v>
      </c>
      <c r="O333" s="132" t="str">
        <f>IFERROR(VLOOKUP($A333,[5]실험의뢰_장진영!$A:$M,6,0),"")</f>
        <v/>
      </c>
      <c r="P333" s="99" t="str">
        <f>IFERROR(VLOOKUP(실험지시[[#This Row],[제품명]],BOM_개발품목[[제품명]:[사양]],7,0),"")</f>
        <v>ABS (롯데첨단소재 MP-0670)</v>
      </c>
      <c r="Q333" s="104" t="str">
        <f>IFERROR(VLOOKUP($A333,[5]실험의뢰_장진영!$A:$M,11,0),"")</f>
        <v/>
      </c>
      <c r="R333" s="104" t="str">
        <f>IFERROR(VLOOKUP($A333,[5]실험의뢰_장진영!$A:$M,12,0),"")</f>
        <v/>
      </c>
      <c r="S333" s="104" t="str">
        <f>IFERROR(VLOOKUP($A333,[5]실험의뢰_장진영!$A:$M,13,0),"")</f>
        <v/>
      </c>
      <c r="T333" s="58"/>
    </row>
    <row r="334" spans="1:20" ht="30" customHeight="1">
      <c r="A334" s="99" t="str">
        <f>실험지시[[#This Row],[품목코드]] &amp; "_" &amp; TEXT(실험지시[[#This Row],[실험지시일자]], "yyyymmdd")</f>
        <v>SI1671_20260126</v>
      </c>
      <c r="B334" t="s">
        <v>1698</v>
      </c>
      <c r="C334" s="99" t="str">
        <f>IFERROR(VLOOKUP(실험지시[[#This Row],[제품명]],BOM_개발품목[[제품명]:[사양]],5,0),"")</f>
        <v>M251359_01</v>
      </c>
      <c r="D334" s="112" t="str">
        <f>IFERROR(VLOOKUP(실험지시[[#This Row],[제품명]],BOM_개발품목[[제품명]:[사양]],4,0),"")</f>
        <v>SI1671</v>
      </c>
      <c r="E334" s="1">
        <v>46048</v>
      </c>
      <c r="F334" t="s">
        <v>161</v>
      </c>
      <c r="G334" s="1" t="s">
        <v>157</v>
      </c>
      <c r="H334" t="s">
        <v>1704</v>
      </c>
      <c r="I334" s="3">
        <v>2.5</v>
      </c>
      <c r="J334" s="46">
        <v>4</v>
      </c>
      <c r="L334" s="129" t="str">
        <f>실험지시[[#This Row],[금형코드]]</f>
        <v>M251359_01</v>
      </c>
      <c r="M334" s="131" t="str">
        <f>IFERROR(VLOOKUP($A334,[5]실험의뢰_장진영!$A:$M,5,0),"")</f>
        <v/>
      </c>
      <c r="N334" s="104" t="str">
        <f>IFERROR(VLOOKUP($A334,[5]실험의뢰_장진영!$A:$M,4,0),"")</f>
        <v/>
      </c>
      <c r="O334" s="132" t="str">
        <f>IFERROR(VLOOKUP($A334,[5]실험의뢰_장진영!$A:$M,6,0),"")</f>
        <v/>
      </c>
      <c r="P334" s="99" t="str">
        <f>IFERROR(VLOOKUP(실험지시[[#This Row],[제품명]],BOM_개발품목[[제품명]:[사양]],7,0),"")</f>
        <v>PP (롯데케미칼 J-560S)</v>
      </c>
      <c r="Q334" s="104" t="str">
        <f>IFERROR(VLOOKUP($A334,[5]실험의뢰_장진영!$A:$M,11,0),"")</f>
        <v/>
      </c>
      <c r="R334" s="104" t="str">
        <f>IFERROR(VLOOKUP($A334,[5]실험의뢰_장진영!$A:$M,12,0),"")</f>
        <v/>
      </c>
      <c r="S334" s="104" t="str">
        <f>IFERROR(VLOOKUP($A334,[5]실험의뢰_장진영!$A:$M,13,0),"")</f>
        <v/>
      </c>
      <c r="T334" s="58"/>
    </row>
    <row r="335" spans="1:20" ht="30" customHeight="1">
      <c r="A335" s="99" t="str">
        <f>실험지시[[#This Row],[품목코드]] &amp; "_" &amp; TEXT(실험지시[[#This Row],[실험지시일자]], "yyyymmdd")</f>
        <v>SI1629_20260128</v>
      </c>
      <c r="B335" t="s">
        <v>929</v>
      </c>
      <c r="C335" s="99" t="str">
        <f>IFERROR(VLOOKUP(실험지시[[#This Row],[제품명]],BOM_개발품목[[제품명]:[사양]],5,0),"")</f>
        <v>M251178_01</v>
      </c>
      <c r="D335" s="112" t="str">
        <f>IFERROR(VLOOKUP(실험지시[[#This Row],[제품명]],BOM_개발품목[[제품명]:[사양]],4,0),"")</f>
        <v>SI1629</v>
      </c>
      <c r="E335" s="1">
        <v>46050</v>
      </c>
      <c r="F335" t="s">
        <v>114</v>
      </c>
      <c r="G335" s="100" t="s">
        <v>484</v>
      </c>
      <c r="H335" t="s">
        <v>1761</v>
      </c>
      <c r="I335" s="3">
        <v>6</v>
      </c>
      <c r="J335" s="46">
        <v>20</v>
      </c>
      <c r="K335" s="74">
        <v>260120</v>
      </c>
      <c r="L335" s="129" t="str">
        <f>실험지시[[#This Row],[금형코드]]</f>
        <v>M251178_01</v>
      </c>
      <c r="M335" s="131" t="str">
        <f>IFERROR(VLOOKUP($A335,[5]실험의뢰_장진영!$A:$M,5,0),"")</f>
        <v/>
      </c>
      <c r="N335" s="104" t="str">
        <f>IFERROR(VLOOKUP($A335,[5]실험의뢰_장진영!$A:$M,4,0),"")</f>
        <v/>
      </c>
      <c r="O335" s="132" t="str">
        <f>IFERROR(VLOOKUP($A335,[5]실험의뢰_장진영!$A:$M,6,0),"")</f>
        <v/>
      </c>
      <c r="P335" s="99" t="str">
        <f>IFERROR(VLOOKUP(실험지시[[#This Row],[제품명]],BOM_개발품목[[제품명]:[사양]],7,0),"")</f>
        <v>Hytrel (Dupont H7246)</v>
      </c>
      <c r="Q335" s="104" t="str">
        <f>IFERROR(VLOOKUP($A335,[5]실험의뢰_장진영!$A:$M,11,0),"")</f>
        <v/>
      </c>
      <c r="R335" s="104" t="str">
        <f>IFERROR(VLOOKUP($A335,[5]실험의뢰_장진영!$A:$M,12,0),"")</f>
        <v/>
      </c>
      <c r="S335" s="104" t="str">
        <f>IFERROR(VLOOKUP($A335,[5]실험의뢰_장진영!$A:$M,13,0),"")</f>
        <v/>
      </c>
      <c r="T335" s="58"/>
    </row>
    <row r="336" spans="1:20" ht="30" customHeight="1">
      <c r="A336" s="99" t="str">
        <f>실험지시[[#This Row],[품목코드]] &amp; "_" &amp; TEXT(실험지시[[#This Row],[실험지시일자]], "yyyymmdd")</f>
        <v>SI1672_20260202</v>
      </c>
      <c r="B336" t="s">
        <v>1739</v>
      </c>
      <c r="C336" s="99" t="str">
        <f>IFERROR(VLOOKUP(실험지시[[#This Row],[제품명]],BOM_개발품목[[제품명]:[사양]],5,0),"")</f>
        <v>S251017_01</v>
      </c>
      <c r="D336" s="112" t="str">
        <f>IFERROR(VLOOKUP(실험지시[[#This Row],[제품명]],BOM_개발품목[[제품명]:[사양]],4,0),"")</f>
        <v>SI1672</v>
      </c>
      <c r="E336" s="1">
        <v>46055</v>
      </c>
      <c r="F336" t="s">
        <v>74</v>
      </c>
      <c r="G336" s="1" t="s">
        <v>499</v>
      </c>
      <c r="I336" s="3"/>
      <c r="J336" s="46">
        <v>32</v>
      </c>
      <c r="L336" s="129" t="str">
        <f>실험지시[[#This Row],[금형코드]]</f>
        <v>S251017_01</v>
      </c>
      <c r="M336" s="131" t="str">
        <f>IFERROR(VLOOKUP($A336,[5]실험의뢰_장진영!$A:$M,5,0),"")</f>
        <v/>
      </c>
      <c r="N336" s="104" t="str">
        <f>IFERROR(VLOOKUP($A336,[5]실험의뢰_장진영!$A:$M,4,0),"")</f>
        <v/>
      </c>
      <c r="O336" s="132" t="str">
        <f>IFERROR(VLOOKUP($A336,[5]실험의뢰_장진영!$A:$M,6,0),"")</f>
        <v/>
      </c>
      <c r="P336" s="99" t="str">
        <f>IFERROR(VLOOKUP(실험지시[[#This Row],[제품명]],BOM_개발품목[[제품명]:[사양]],7,0),"")</f>
        <v>ABS (롯데첨단소재 MP-0670)</v>
      </c>
      <c r="Q336" s="104" t="str">
        <f>IFERROR(VLOOKUP($A336,[5]실험의뢰_장진영!$A:$M,11,0),"")</f>
        <v/>
      </c>
      <c r="R336" s="104" t="str">
        <f>IFERROR(VLOOKUP($A336,[5]실험의뢰_장진영!$A:$M,12,0),"")</f>
        <v/>
      </c>
      <c r="S336" s="104" t="str">
        <f>IFERROR(VLOOKUP($A336,[5]실험의뢰_장진영!$A:$M,13,0),"")</f>
        <v/>
      </c>
      <c r="T336" s="58"/>
    </row>
    <row r="337" spans="1:20" ht="30" customHeight="1">
      <c r="A337" s="99" t="str">
        <f>실험지시[[#This Row],[품목코드]] &amp; "_" &amp; TEXT(실험지시[[#This Row],[실험지시일자]], "yyyymmdd")</f>
        <v>SI1673_20260202</v>
      </c>
      <c r="B337" t="s">
        <v>1742</v>
      </c>
      <c r="C337" s="99" t="str">
        <f>IFERROR(VLOOKUP(실험지시[[#This Row],[제품명]],BOM_개발품목[[제품명]:[사양]],5,0),"")</f>
        <v>S251017_01</v>
      </c>
      <c r="D337" s="112" t="str">
        <f>IFERROR(VLOOKUP(실험지시[[#This Row],[제품명]],BOM_개발품목[[제품명]:[사양]],4,0),"")</f>
        <v>SI1673</v>
      </c>
      <c r="E337" s="1">
        <v>46055</v>
      </c>
      <c r="F337" t="s">
        <v>74</v>
      </c>
      <c r="G337" s="1" t="s">
        <v>499</v>
      </c>
      <c r="I337" s="3"/>
      <c r="J337" s="46">
        <v>32</v>
      </c>
      <c r="L337" s="129" t="str">
        <f>실험지시[[#This Row],[금형코드]]</f>
        <v>S251017_01</v>
      </c>
      <c r="M337" s="131" t="str">
        <f>IFERROR(VLOOKUP($A337,[5]실험의뢰_장진영!$A:$M,5,0),"")</f>
        <v/>
      </c>
      <c r="N337" s="104" t="str">
        <f>IFERROR(VLOOKUP($A337,[5]실험의뢰_장진영!$A:$M,4,0),"")</f>
        <v/>
      </c>
      <c r="O337" s="132" t="str">
        <f>IFERROR(VLOOKUP($A337,[5]실험의뢰_장진영!$A:$M,6,0),"")</f>
        <v/>
      </c>
      <c r="P337" s="99" t="str">
        <f>IFERROR(VLOOKUP(실험지시[[#This Row],[제품명]],BOM_개발품목[[제품명]:[사양]],7,0),"")</f>
        <v>ABS (롯데첨단소재 MP-0670)</v>
      </c>
      <c r="Q337" s="104" t="str">
        <f>IFERROR(VLOOKUP($A337,[5]실험의뢰_장진영!$A:$M,11,0),"")</f>
        <v/>
      </c>
      <c r="R337" s="104" t="str">
        <f>IFERROR(VLOOKUP($A337,[5]실험의뢰_장진영!$A:$M,12,0),"")</f>
        <v/>
      </c>
      <c r="S337" s="104" t="str">
        <f>IFERROR(VLOOKUP($A337,[5]실험의뢰_장진영!$A:$M,13,0),"")</f>
        <v/>
      </c>
      <c r="T337" s="58"/>
    </row>
    <row r="338" spans="1:20" ht="30" customHeight="1">
      <c r="A338" s="99" t="str">
        <f>실험지시[[#This Row],[품목코드]] &amp; "_" &amp; TEXT(실험지시[[#This Row],[실험지시일자]], "yyyymmdd")</f>
        <v>SI1676_20260130</v>
      </c>
      <c r="B338" t="s">
        <v>1746</v>
      </c>
      <c r="C338" s="99" t="str">
        <f>IFERROR(VLOOKUP(실험지시[[#This Row],[제품명]],BOM_개발품목[[제품명]:[사양]],5,0),"")</f>
        <v>S251018_01</v>
      </c>
      <c r="D338" s="112" t="str">
        <f>IFERROR(VLOOKUP(실험지시[[#This Row],[제품명]],BOM_개발품목[[제품명]:[사양]],4,0),"")</f>
        <v>SI1676</v>
      </c>
      <c r="E338" s="1">
        <v>46052</v>
      </c>
      <c r="F338" t="s">
        <v>74</v>
      </c>
      <c r="G338" s="1" t="s">
        <v>1762</v>
      </c>
      <c r="I338" s="3"/>
      <c r="J338" s="46">
        <v>32</v>
      </c>
      <c r="L338" s="129" t="str">
        <f>실험지시[[#This Row],[금형코드]]</f>
        <v>S251018_01</v>
      </c>
      <c r="M338" s="131" t="str">
        <f>IFERROR(VLOOKUP($A338,[5]실험의뢰_장진영!$A:$M,5,0),"")</f>
        <v/>
      </c>
      <c r="N338" s="104" t="str">
        <f>IFERROR(VLOOKUP($A338,[5]실험의뢰_장진영!$A:$M,4,0),"")</f>
        <v/>
      </c>
      <c r="O338" s="132" t="str">
        <f>IFERROR(VLOOKUP($A338,[5]실험의뢰_장진영!$A:$M,6,0),"")</f>
        <v/>
      </c>
      <c r="P338" s="99" t="str">
        <f>IFERROR(VLOOKUP(실험지시[[#This Row],[제품명]],BOM_개발품목[[제품명]:[사양]],7,0),"")</f>
        <v>PP+PE</v>
      </c>
      <c r="Q338" s="104" t="str">
        <f>IFERROR(VLOOKUP($A338,[5]실험의뢰_장진영!$A:$M,11,0),"")</f>
        <v/>
      </c>
      <c r="R338" s="104" t="str">
        <f>IFERROR(VLOOKUP($A338,[5]실험의뢰_장진영!$A:$M,12,0),"")</f>
        <v/>
      </c>
      <c r="S338" s="104" t="str">
        <f>IFERROR(VLOOKUP($A338,[5]실험의뢰_장진영!$A:$M,13,0),"")</f>
        <v/>
      </c>
      <c r="T338" s="58"/>
    </row>
    <row r="339" spans="1:20" ht="30" customHeight="1">
      <c r="A339" s="99" t="str">
        <f>실험지시[[#This Row],[품목코드]] &amp; "_" &amp; TEXT(실험지시[[#This Row],[실험지시일자]], "yyyymmdd")</f>
        <v>SI1675_20260130</v>
      </c>
      <c r="B339" t="s">
        <v>1749</v>
      </c>
      <c r="C339" s="99" t="str">
        <f>IFERROR(VLOOKUP(실험지시[[#This Row],[제품명]],BOM_개발품목[[제품명]:[사양]],5,0),"")</f>
        <v>S251018_01</v>
      </c>
      <c r="D339" s="112" t="str">
        <f>IFERROR(VLOOKUP(실험지시[[#This Row],[제품명]],BOM_개발품목[[제품명]:[사양]],4,0),"")</f>
        <v>SI1675</v>
      </c>
      <c r="E339" s="1">
        <v>46052</v>
      </c>
      <c r="F339" t="s">
        <v>74</v>
      </c>
      <c r="G339" s="1" t="s">
        <v>152</v>
      </c>
      <c r="I339" s="3"/>
      <c r="J339" s="46">
        <v>32</v>
      </c>
      <c r="L339" s="129" t="str">
        <f>실험지시[[#This Row],[금형코드]]</f>
        <v>S251018_01</v>
      </c>
      <c r="M339" s="131" t="str">
        <f>IFERROR(VLOOKUP($A339,[5]실험의뢰_장진영!$A:$M,5,0),"")</f>
        <v/>
      </c>
      <c r="N339" s="104" t="str">
        <f>IFERROR(VLOOKUP($A339,[5]실험의뢰_장진영!$A:$M,4,0),"")</f>
        <v/>
      </c>
      <c r="O339" s="132" t="str">
        <f>IFERROR(VLOOKUP($A339,[5]실험의뢰_장진영!$A:$M,6,0),"")</f>
        <v/>
      </c>
      <c r="P339" s="99" t="str">
        <f>IFERROR(VLOOKUP(실험지시[[#This Row],[제품명]],BOM_개발품목[[제품명]:[사양]],7,0),"")</f>
        <v>PP+PE</v>
      </c>
      <c r="Q339" s="104" t="str">
        <f>IFERROR(VLOOKUP($A339,[5]실험의뢰_장진영!$A:$M,11,0),"")</f>
        <v/>
      </c>
      <c r="R339" s="104" t="str">
        <f>IFERROR(VLOOKUP($A339,[5]실험의뢰_장진영!$A:$M,12,0),"")</f>
        <v/>
      </c>
      <c r="S339" s="104" t="str">
        <f>IFERROR(VLOOKUP($A339,[5]실험의뢰_장진영!$A:$M,13,0),"")</f>
        <v/>
      </c>
      <c r="T339" s="58"/>
    </row>
    <row r="340" spans="1:20" ht="30" customHeight="1">
      <c r="A340" s="99" t="str">
        <f>실험지시[[#This Row],[품목코드]] &amp; "_" &amp; TEXT(실험지시[[#This Row],[실험지시일자]], "yyyymmdd")</f>
        <v>SI1675_20260203</v>
      </c>
      <c r="B340" t="s">
        <v>1749</v>
      </c>
      <c r="C340" s="99" t="str">
        <f>IFERROR(VLOOKUP(실험지시[[#This Row],[제품명]],BOM_개발품목[[제품명]:[사양]],5,0),"")</f>
        <v>S251018_01</v>
      </c>
      <c r="D340" s="112" t="str">
        <f>IFERROR(VLOOKUP(실험지시[[#This Row],[제품명]],BOM_개발품목[[제품명]:[사양]],4,0),"")</f>
        <v>SI1675</v>
      </c>
      <c r="E340" s="1">
        <v>46056</v>
      </c>
      <c r="F340" t="s">
        <v>74</v>
      </c>
      <c r="G340" s="1" t="s">
        <v>1764</v>
      </c>
      <c r="H340" t="s">
        <v>1645</v>
      </c>
      <c r="I340" s="3">
        <v>2</v>
      </c>
      <c r="J340" s="46">
        <v>32</v>
      </c>
      <c r="L340" s="129" t="str">
        <f>실험지시[[#This Row],[금형코드]]</f>
        <v>S251018_01</v>
      </c>
      <c r="M340" s="131" t="str">
        <f>IFERROR(VLOOKUP($A340,[5]실험의뢰_장진영!$A:$M,5,0),"")</f>
        <v/>
      </c>
      <c r="N340" s="104" t="str">
        <f>IFERROR(VLOOKUP($A340,[5]실험의뢰_장진영!$A:$M,4,0),"")</f>
        <v/>
      </c>
      <c r="O340" s="132" t="str">
        <f>IFERROR(VLOOKUP($A340,[5]실험의뢰_장진영!$A:$M,6,0),"")</f>
        <v/>
      </c>
      <c r="P340" s="99" t="str">
        <f>IFERROR(VLOOKUP(실험지시[[#This Row],[제품명]],BOM_개발품목[[제품명]:[사양]],7,0),"")</f>
        <v>PP+PE</v>
      </c>
      <c r="Q340" s="104" t="str">
        <f>IFERROR(VLOOKUP($A340,[5]실험의뢰_장진영!$A:$M,11,0),"")</f>
        <v/>
      </c>
      <c r="R340" s="104" t="str">
        <f>IFERROR(VLOOKUP($A340,[5]실험의뢰_장진영!$A:$M,12,0),"")</f>
        <v/>
      </c>
      <c r="S340" s="104" t="str">
        <f>IFERROR(VLOOKUP($A340,[5]실험의뢰_장진영!$A:$M,13,0),"")</f>
        <v/>
      </c>
      <c r="T340" s="58"/>
    </row>
    <row r="341" spans="1:20" ht="30" customHeight="1">
      <c r="A341" s="99" t="str">
        <f>실험지시[[#This Row],[품목코드]] &amp; "_" &amp; TEXT(실험지시[[#This Row],[실험지시일자]], "yyyymmdd")</f>
        <v>SI1676_20260203</v>
      </c>
      <c r="B341" t="s">
        <v>1746</v>
      </c>
      <c r="C341" s="99" t="str">
        <f>IFERROR(VLOOKUP(실험지시[[#This Row],[제품명]],BOM_개발품목[[제품명]:[사양]],5,0),"")</f>
        <v>S251018_01</v>
      </c>
      <c r="D341" s="112" t="str">
        <f>IFERROR(VLOOKUP(실험지시[[#This Row],[제품명]],BOM_개발품목[[제품명]:[사양]],4,0),"")</f>
        <v>SI1676</v>
      </c>
      <c r="E341" s="1">
        <v>46056</v>
      </c>
      <c r="F341" t="s">
        <v>74</v>
      </c>
      <c r="G341" s="1" t="s">
        <v>152</v>
      </c>
      <c r="H341" t="s">
        <v>1645</v>
      </c>
      <c r="I341" s="3">
        <v>2</v>
      </c>
      <c r="J341" s="46">
        <v>32</v>
      </c>
      <c r="L341" s="129" t="str">
        <f>실험지시[[#This Row],[금형코드]]</f>
        <v>S251018_01</v>
      </c>
      <c r="M341" s="131" t="str">
        <f>IFERROR(VLOOKUP($A341,[5]실험의뢰_장진영!$A:$M,5,0),"")</f>
        <v/>
      </c>
      <c r="N341" s="104" t="str">
        <f>IFERROR(VLOOKUP($A341,[5]실험의뢰_장진영!$A:$M,4,0),"")</f>
        <v/>
      </c>
      <c r="O341" s="132" t="str">
        <f>IFERROR(VLOOKUP($A341,[5]실험의뢰_장진영!$A:$M,6,0),"")</f>
        <v/>
      </c>
      <c r="P341" s="99" t="str">
        <f>IFERROR(VLOOKUP(실험지시[[#This Row],[제품명]],BOM_개발품목[[제품명]:[사양]],7,0),"")</f>
        <v>PP+PE</v>
      </c>
      <c r="Q341" s="104" t="str">
        <f>IFERROR(VLOOKUP($A341,[5]실험의뢰_장진영!$A:$M,11,0),"")</f>
        <v/>
      </c>
      <c r="R341" s="104" t="str">
        <f>IFERROR(VLOOKUP($A341,[5]실험의뢰_장진영!$A:$M,12,0),"")</f>
        <v/>
      </c>
      <c r="S341" s="104" t="str">
        <f>IFERROR(VLOOKUP($A341,[5]실험의뢰_장진영!$A:$M,13,0),"")</f>
        <v/>
      </c>
      <c r="T341" s="58"/>
    </row>
    <row r="342" spans="1:20" ht="30" customHeight="1">
      <c r="A342" s="99" t="str">
        <f>실험지시[[#This Row],[품목코드]] &amp; "_" &amp; TEXT(실험지시[[#This Row],[실험지시일자]], "yyyymmdd")</f>
        <v>SI1674_20260204</v>
      </c>
      <c r="B342" t="s">
        <v>1744</v>
      </c>
      <c r="C342" s="99" t="str">
        <f>IFERROR(VLOOKUP(실험지시[[#This Row],[제품명]],BOM_개발품목[[제품명]:[사양]],5,0),"")</f>
        <v>S251019_01</v>
      </c>
      <c r="D342" s="112" t="str">
        <f>IFERROR(VLOOKUP(실험지시[[#This Row],[제품명]],BOM_개발품목[[제품명]:[사양]],4,0),"")</f>
        <v>SI1674</v>
      </c>
      <c r="E342" s="1">
        <v>46057</v>
      </c>
      <c r="F342" t="s">
        <v>74</v>
      </c>
      <c r="G342" s="1" t="s">
        <v>152</v>
      </c>
      <c r="H342" t="s">
        <v>1645</v>
      </c>
      <c r="I342" s="3">
        <v>2</v>
      </c>
      <c r="J342" s="46">
        <v>32</v>
      </c>
      <c r="L342" s="129" t="str">
        <f>실험지시[[#This Row],[금형코드]]</f>
        <v>S251019_01</v>
      </c>
      <c r="M342" s="131" t="str">
        <f>IFERROR(VLOOKUP($A342,[5]실험의뢰_장진영!$A:$M,5,0),"")</f>
        <v/>
      </c>
      <c r="N342" s="104" t="str">
        <f>IFERROR(VLOOKUP($A342,[5]실험의뢰_장진영!$A:$M,4,0),"")</f>
        <v/>
      </c>
      <c r="O342" s="132" t="str">
        <f>IFERROR(VLOOKUP($A342,[5]실험의뢰_장진영!$A:$M,6,0),"")</f>
        <v/>
      </c>
      <c r="P342" s="99" t="str">
        <f>IFERROR(VLOOKUP(실험지시[[#This Row],[제품명]],BOM_개발품목[[제품명]:[사양]],7,0),"")</f>
        <v>PP (롯데케미칼 J-560S)</v>
      </c>
      <c r="Q342" s="104" t="str">
        <f>IFERROR(VLOOKUP($A342,[5]실험의뢰_장진영!$A:$M,11,0),"")</f>
        <v/>
      </c>
      <c r="R342" s="104" t="str">
        <f>IFERROR(VLOOKUP($A342,[5]실험의뢰_장진영!$A:$M,12,0),"")</f>
        <v/>
      </c>
      <c r="S342" s="104" t="str">
        <f>IFERROR(VLOOKUP($A342,[5]실험의뢰_장진영!$A:$M,13,0),"")</f>
        <v/>
      </c>
      <c r="T342" s="58"/>
    </row>
    <row r="343" spans="1:20" ht="30" customHeight="1">
      <c r="A343" s="99" t="str">
        <f>실험지시[[#This Row],[품목코드]] &amp; "_" &amp; TEXT(실험지시[[#This Row],[실험지시일자]], "yyyymmdd")</f>
        <v>SI1667_20260206</v>
      </c>
      <c r="B343" t="s">
        <v>1682</v>
      </c>
      <c r="C343" s="99" t="str">
        <f>IFERROR(VLOOKUP(실험지시[[#This Row],[제품명]],BOM_개발품목[[제품명]:[사양]],5,0),"")</f>
        <v>M110374_01</v>
      </c>
      <c r="D343" s="112" t="str">
        <f>IFERROR(VLOOKUP(실험지시[[#This Row],[제품명]],BOM_개발품목[[제품명]:[사양]],4,0),"")</f>
        <v>SI1667</v>
      </c>
      <c r="E343" s="1">
        <v>46059</v>
      </c>
      <c r="G343" s="1" t="s">
        <v>1766</v>
      </c>
      <c r="I343" s="3"/>
      <c r="J343" s="46">
        <v>23</v>
      </c>
      <c r="L343" s="129" t="str">
        <f>실험지시[[#This Row],[금형코드]]</f>
        <v>M110374_01</v>
      </c>
      <c r="M343" s="131" t="str">
        <f>IFERROR(VLOOKUP($A343,[5]실험의뢰_장진영!$A:$M,5,0),"")</f>
        <v/>
      </c>
      <c r="N343" s="104" t="str">
        <f>IFERROR(VLOOKUP($A343,[5]실험의뢰_장진영!$A:$M,4,0),"")</f>
        <v/>
      </c>
      <c r="O343" s="132" t="str">
        <f>IFERROR(VLOOKUP($A343,[5]실험의뢰_장진영!$A:$M,6,0),"")</f>
        <v/>
      </c>
      <c r="P343" s="99" t="str">
        <f>IFERROR(VLOOKUP(실험지시[[#This Row],[제품명]],BOM_개발품목[[제품명]:[사양]],7,0),"")</f>
        <v>PP (롯데케미칼 J-560S)</v>
      </c>
      <c r="Q343" s="104" t="str">
        <f>IFERROR(VLOOKUP($A343,[5]실험의뢰_장진영!$A:$M,11,0),"")</f>
        <v/>
      </c>
      <c r="R343" s="104" t="str">
        <f>IFERROR(VLOOKUP($A343,[5]실험의뢰_장진영!$A:$M,12,0),"")</f>
        <v/>
      </c>
      <c r="S343" s="104" t="str">
        <f>IFERROR(VLOOKUP($A343,[5]실험의뢰_장진영!$A:$M,13,0),"")</f>
        <v/>
      </c>
      <c r="T343" s="58"/>
    </row>
    <row r="344" spans="1:20" ht="30" customHeight="1">
      <c r="A344" s="99" t="str">
        <f>실험지시[[#This Row],[품목코드]] &amp; "_" &amp; TEXT(실험지시[[#This Row],[실험지시일자]], "yyyymmdd")</f>
        <v>SI1634_20260209</v>
      </c>
      <c r="B344" t="s">
        <v>949</v>
      </c>
      <c r="C344" s="99" t="str">
        <f>IFERROR(VLOOKUP(실험지시[[#This Row],[제품명]],BOM_개발품목[[제품명]:[사양]],5,0),"")</f>
        <v>M251183_01</v>
      </c>
      <c r="D344" s="112" t="str">
        <f>IFERROR(VLOOKUP(실험지시[[#This Row],[제품명]],BOM_개발품목[[제품명]:[사양]],4,0),"")</f>
        <v>SI1634</v>
      </c>
      <c r="E344" s="1">
        <v>46062</v>
      </c>
      <c r="F344" t="s">
        <v>1672</v>
      </c>
      <c r="G344" s="100" t="s">
        <v>484</v>
      </c>
      <c r="H344" t="s">
        <v>1445</v>
      </c>
      <c r="I344" s="3">
        <v>6</v>
      </c>
      <c r="J344" s="46">
        <v>20</v>
      </c>
      <c r="L344" s="129" t="str">
        <f>실험지시[[#This Row],[금형코드]]</f>
        <v>M251183_01</v>
      </c>
      <c r="M344" s="131" t="str">
        <f>IFERROR(VLOOKUP($A344,[5]실험의뢰_장진영!$A:$M,5,0),"")</f>
        <v/>
      </c>
      <c r="N344" s="104" t="str">
        <f>IFERROR(VLOOKUP($A344,[5]실험의뢰_장진영!$A:$M,4,0),"")</f>
        <v/>
      </c>
      <c r="O344" s="132" t="str">
        <f>IFERROR(VLOOKUP($A344,[5]실험의뢰_장진영!$A:$M,6,0),"")</f>
        <v/>
      </c>
      <c r="P344" s="99" t="str">
        <f>IFERROR(VLOOKUP(실험지시[[#This Row],[제품명]],BOM_개발품목[[제품명]:[사양]],7,0),"")</f>
        <v>Hytrel (Dupont H7246)</v>
      </c>
      <c r="Q344" s="104" t="str">
        <f>IFERROR(VLOOKUP($A344,[5]실험의뢰_장진영!$A:$M,11,0),"")</f>
        <v/>
      </c>
      <c r="R344" s="104" t="str">
        <f>IFERROR(VLOOKUP($A344,[5]실험의뢰_장진영!$A:$M,12,0),"")</f>
        <v/>
      </c>
      <c r="S344" s="104" t="str">
        <f>IFERROR(VLOOKUP($A344,[5]실험의뢰_장진영!$A:$M,13,0),"")</f>
        <v/>
      </c>
      <c r="T344" s="58"/>
    </row>
    <row r="345" spans="1:20" ht="30" customHeight="1">
      <c r="A345" s="99" t="str">
        <f>실험지시[[#This Row],[품목코드]] &amp; "_" &amp; TEXT(실험지시[[#This Row],[실험지시일자]], "yyyymmdd")</f>
        <v>SI1629_20260209</v>
      </c>
      <c r="B345" t="s">
        <v>929</v>
      </c>
      <c r="C345" s="99" t="str">
        <f>IFERROR(VLOOKUP(실험지시[[#This Row],[제품명]],BOM_개발품목[[제품명]:[사양]],5,0),"")</f>
        <v>M251178_01</v>
      </c>
      <c r="D345" s="112" t="str">
        <f>IFERROR(VLOOKUP(실험지시[[#This Row],[제품명]],BOM_개발품목[[제품명]:[사양]],4,0),"")</f>
        <v>SI1629</v>
      </c>
      <c r="E345" s="1">
        <v>46062</v>
      </c>
      <c r="F345" t="s">
        <v>1672</v>
      </c>
      <c r="G345" s="100" t="s">
        <v>484</v>
      </c>
      <c r="H345" t="s">
        <v>1445</v>
      </c>
      <c r="I345" s="3">
        <v>6</v>
      </c>
      <c r="J345" s="46">
        <v>20</v>
      </c>
      <c r="L345" s="129" t="str">
        <f>실험지시[[#This Row],[금형코드]]</f>
        <v>M251178_01</v>
      </c>
      <c r="M345" s="131" t="str">
        <f>IFERROR(VLOOKUP($A345,[5]실험의뢰_장진영!$A:$M,5,0),"")</f>
        <v/>
      </c>
      <c r="N345" s="104" t="str">
        <f>IFERROR(VLOOKUP($A345,[5]실험의뢰_장진영!$A:$M,4,0),"")</f>
        <v/>
      </c>
      <c r="O345" s="132" t="str">
        <f>IFERROR(VLOOKUP($A345,[5]실험의뢰_장진영!$A:$M,6,0),"")</f>
        <v/>
      </c>
      <c r="P345" s="99" t="str">
        <f>IFERROR(VLOOKUP(실험지시[[#This Row],[제품명]],BOM_개발품목[[제품명]:[사양]],7,0),"")</f>
        <v>Hytrel (Dupont H7246)</v>
      </c>
      <c r="Q345" s="104" t="str">
        <f>IFERROR(VLOOKUP($A345,[5]실험의뢰_장진영!$A:$M,11,0),"")</f>
        <v/>
      </c>
      <c r="R345" s="104" t="str">
        <f>IFERROR(VLOOKUP($A345,[5]실험의뢰_장진영!$A:$M,12,0),"")</f>
        <v/>
      </c>
      <c r="S345" s="104" t="str">
        <f>IFERROR(VLOOKUP($A345,[5]실험의뢰_장진영!$A:$M,13,0),"")</f>
        <v/>
      </c>
      <c r="T345" s="58"/>
    </row>
    <row r="346" spans="1:20" ht="30" customHeight="1">
      <c r="A346" s="99" t="str">
        <f>실험지시[[#This Row],[품목코드]] &amp; "_" &amp; TEXT(실험지시[[#This Row],[실험지시일자]], "yyyymmdd")</f>
        <v>SI1616_20260209</v>
      </c>
      <c r="B346" t="s">
        <v>936</v>
      </c>
      <c r="C346" s="99" t="str">
        <f>IFERROR(VLOOKUP(실험지시[[#This Row],[제품명]],BOM_개발품목[[제품명]:[사양]],5,0),"")</f>
        <v>M251186_01</v>
      </c>
      <c r="D346" s="112" t="str">
        <f>IFERROR(VLOOKUP(실험지시[[#This Row],[제품명]],BOM_개발품목[[제품명]:[사양]],4,0),"")</f>
        <v>SI1616</v>
      </c>
      <c r="E346" s="1">
        <v>46062</v>
      </c>
      <c r="F346" t="s">
        <v>1672</v>
      </c>
      <c r="G346" s="100" t="s">
        <v>484</v>
      </c>
      <c r="H346" t="s">
        <v>1445</v>
      </c>
      <c r="I346" s="3">
        <v>6</v>
      </c>
      <c r="J346" s="46">
        <v>20</v>
      </c>
      <c r="K346" s="74">
        <v>250725</v>
      </c>
      <c r="L346" s="129" t="str">
        <f>실험지시[[#This Row],[금형코드]]</f>
        <v>M251186_01</v>
      </c>
      <c r="M346" s="131" t="str">
        <f>IFERROR(VLOOKUP($A346,[5]실험의뢰_장진영!$A:$M,5,0),"")</f>
        <v/>
      </c>
      <c r="N346" s="104" t="str">
        <f>IFERROR(VLOOKUP($A346,[5]실험의뢰_장진영!$A:$M,4,0),"")</f>
        <v/>
      </c>
      <c r="O346" s="132" t="str">
        <f>IFERROR(VLOOKUP($A346,[5]실험의뢰_장진영!$A:$M,6,0),"")</f>
        <v/>
      </c>
      <c r="P346" s="99" t="str">
        <f>IFERROR(VLOOKUP(실험지시[[#This Row],[제품명]],BOM_개발품목[[제품명]:[사양]],7,0),"")</f>
        <v>Hytrel (Dupont H7246)</v>
      </c>
      <c r="Q346" s="104" t="str">
        <f>IFERROR(VLOOKUP($A346,[5]실험의뢰_장진영!$A:$M,11,0),"")</f>
        <v/>
      </c>
      <c r="R346" s="104" t="str">
        <f>IFERROR(VLOOKUP($A346,[5]실험의뢰_장진영!$A:$M,12,0),"")</f>
        <v/>
      </c>
      <c r="S346" s="104" t="str">
        <f>IFERROR(VLOOKUP($A346,[5]실험의뢰_장진영!$A:$M,13,0),"")</f>
        <v/>
      </c>
      <c r="T346" s="58"/>
    </row>
    <row r="347" spans="1:20" ht="30" customHeight="1">
      <c r="A347" s="99" t="str">
        <f>실험지시[[#This Row],[품목코드]] &amp; "_" &amp; TEXT(실험지시[[#This Row],[실험지시일자]], "yyyymmdd")</f>
        <v>SI1676_20260210</v>
      </c>
      <c r="B347" t="s">
        <v>1746</v>
      </c>
      <c r="C347" s="99" t="str">
        <f>IFERROR(VLOOKUP(실험지시[[#This Row],[제품명]],BOM_개발품목[[제품명]:[사양]],5,0),"")</f>
        <v>S251018_01</v>
      </c>
      <c r="D347" s="112" t="str">
        <f>IFERROR(VLOOKUP(실험지시[[#This Row],[제품명]],BOM_개발품목[[제품명]:[사양]],4,0),"")</f>
        <v>SI1676</v>
      </c>
      <c r="E347" s="1">
        <v>46063</v>
      </c>
      <c r="F347" t="s">
        <v>74</v>
      </c>
      <c r="G347" s="1" t="s">
        <v>152</v>
      </c>
      <c r="H347" t="s">
        <v>1645</v>
      </c>
      <c r="I347" s="3">
        <v>2</v>
      </c>
      <c r="J347" s="46">
        <v>4</v>
      </c>
      <c r="L347" s="129" t="str">
        <f>실험지시[[#This Row],[금형코드]]</f>
        <v>S251018_01</v>
      </c>
      <c r="M347" s="131" t="str">
        <f>IFERROR(VLOOKUP($A347,[5]실험의뢰_장진영!$A:$M,5,0),"")</f>
        <v/>
      </c>
      <c r="N347" s="104" t="str">
        <f>IFERROR(VLOOKUP($A347,[5]실험의뢰_장진영!$A:$M,4,0),"")</f>
        <v/>
      </c>
      <c r="O347" s="132" t="str">
        <f>IFERROR(VLOOKUP($A347,[5]실험의뢰_장진영!$A:$M,6,0),"")</f>
        <v/>
      </c>
      <c r="P347" s="99" t="str">
        <f>IFERROR(VLOOKUP(실험지시[[#This Row],[제품명]],BOM_개발품목[[제품명]:[사양]],7,0),"")</f>
        <v>PP+PE</v>
      </c>
      <c r="Q347" s="104" t="str">
        <f>IFERROR(VLOOKUP($A347,[5]실험의뢰_장진영!$A:$M,11,0),"")</f>
        <v/>
      </c>
      <c r="R347" s="104" t="str">
        <f>IFERROR(VLOOKUP($A347,[5]실험의뢰_장진영!$A:$M,12,0),"")</f>
        <v/>
      </c>
      <c r="S347" s="104" t="str">
        <f>IFERROR(VLOOKUP($A347,[5]실험의뢰_장진영!$A:$M,13,0),"")</f>
        <v/>
      </c>
      <c r="T347" s="58"/>
    </row>
    <row r="348" spans="1:20" ht="30" customHeight="1">
      <c r="A348" s="99" t="str">
        <f>실험지시[[#This Row],[품목코드]] &amp; "_" &amp; TEXT(실험지시[[#This Row],[실험지시일자]], "yyyymmdd")</f>
        <v>SI1668_20260210</v>
      </c>
      <c r="B348" t="s">
        <v>1683</v>
      </c>
      <c r="C348" s="99" t="str">
        <f>IFERROR(VLOOKUP(실험지시[[#This Row],[제품명]],BOM_개발품목[[제품명]:[사양]],5,0),"")</f>
        <v>M251356_01</v>
      </c>
      <c r="D348" s="112" t="str">
        <f>IFERROR(VLOOKUP(실험지시[[#This Row],[제품명]],BOM_개발품목[[제품명]:[사양]],4,0),"")</f>
        <v>SI1668</v>
      </c>
      <c r="E348" s="1">
        <v>46063</v>
      </c>
      <c r="F348" t="s">
        <v>74</v>
      </c>
      <c r="G348" s="1" t="s">
        <v>157</v>
      </c>
      <c r="H348" t="s">
        <v>1757</v>
      </c>
      <c r="I348" s="3">
        <v>5</v>
      </c>
      <c r="J348" s="46">
        <v>4</v>
      </c>
      <c r="L348" s="129" t="str">
        <f>실험지시[[#This Row],[금형코드]]</f>
        <v>M251356_01</v>
      </c>
      <c r="M348" s="131" t="str">
        <f>IFERROR(VLOOKUP($A348,[5]실험의뢰_장진영!$A:$M,5,0),"")</f>
        <v/>
      </c>
      <c r="N348" s="104" t="str">
        <f>IFERROR(VLOOKUP($A348,[5]실험의뢰_장진영!$A:$M,4,0),"")</f>
        <v/>
      </c>
      <c r="O348" s="132" t="str">
        <f>IFERROR(VLOOKUP($A348,[5]실험의뢰_장진영!$A:$M,6,0),"")</f>
        <v/>
      </c>
      <c r="P348" s="99" t="str">
        <f>IFERROR(VLOOKUP(실험지시[[#This Row],[제품명]],BOM_개발품목[[제품명]:[사양]],7,0),"")</f>
        <v>PP (롯데케미칼 J-560S)</v>
      </c>
      <c r="Q348" s="104" t="str">
        <f>IFERROR(VLOOKUP($A348,[5]실험의뢰_장진영!$A:$M,11,0),"")</f>
        <v/>
      </c>
      <c r="R348" s="104" t="str">
        <f>IFERROR(VLOOKUP($A348,[5]실험의뢰_장진영!$A:$M,12,0),"")</f>
        <v/>
      </c>
      <c r="S348" s="104" t="str">
        <f>IFERROR(VLOOKUP($A348,[5]실험의뢰_장진영!$A:$M,13,0),"")</f>
        <v/>
      </c>
      <c r="T348" s="58"/>
    </row>
    <row r="349" spans="1:20" ht="30" customHeight="1">
      <c r="A349" s="99" t="str">
        <f>실험지시[[#This Row],[품목코드]] &amp; "_" &amp; TEXT(실험지시[[#This Row],[실험지시일자]], "yyyymmdd")</f>
        <v>SI1671_20260211</v>
      </c>
      <c r="B349" t="s">
        <v>1698</v>
      </c>
      <c r="C349" s="99" t="str">
        <f>IFERROR(VLOOKUP(실험지시[[#This Row],[제품명]],BOM_개발품목[[제품명]:[사양]],5,0),"")</f>
        <v>M251359_01</v>
      </c>
      <c r="D349" s="112" t="str">
        <f>IFERROR(VLOOKUP(실험지시[[#This Row],[제품명]],BOM_개발품목[[제품명]:[사양]],4,0),"")</f>
        <v>SI1671</v>
      </c>
      <c r="E349" s="1">
        <v>46064</v>
      </c>
      <c r="F349" t="s">
        <v>74</v>
      </c>
      <c r="G349" s="1" t="s">
        <v>157</v>
      </c>
      <c r="H349" t="s">
        <v>1704</v>
      </c>
      <c r="I349" s="3">
        <v>2.5</v>
      </c>
      <c r="J349" s="46">
        <v>4</v>
      </c>
      <c r="L349" s="129" t="str">
        <f>실험지시[[#This Row],[금형코드]]</f>
        <v>M251359_01</v>
      </c>
      <c r="M349" s="131" t="str">
        <f>IFERROR(VLOOKUP($A349,[5]실험의뢰_장진영!$A:$M,5,0),"")</f>
        <v/>
      </c>
      <c r="N349" s="104" t="str">
        <f>IFERROR(VLOOKUP($A349,[5]실험의뢰_장진영!$A:$M,4,0),"")</f>
        <v/>
      </c>
      <c r="O349" s="132" t="str">
        <f>IFERROR(VLOOKUP($A349,[5]실험의뢰_장진영!$A:$M,6,0),"")</f>
        <v/>
      </c>
      <c r="P349" s="99" t="str">
        <f>IFERROR(VLOOKUP(실험지시[[#This Row],[제품명]],BOM_개발품목[[제품명]:[사양]],7,0),"")</f>
        <v>PP (롯데케미칼 J-560S)</v>
      </c>
      <c r="Q349" s="104" t="str">
        <f>IFERROR(VLOOKUP($A349,[5]실험의뢰_장진영!$A:$M,11,0),"")</f>
        <v/>
      </c>
      <c r="R349" s="104" t="str">
        <f>IFERROR(VLOOKUP($A349,[5]실험의뢰_장진영!$A:$M,12,0),"")</f>
        <v/>
      </c>
      <c r="S349" s="104" t="str">
        <f>IFERROR(VLOOKUP($A349,[5]실험의뢰_장진영!$A:$M,13,0),"")</f>
        <v/>
      </c>
      <c r="T349" s="58"/>
    </row>
    <row r="350" spans="1:20" ht="30" customHeight="1">
      <c r="A350" s="99" t="str">
        <f>실험지시[[#This Row],[품목코드]] &amp; "_" &amp; TEXT(실험지시[[#This Row],[실험지시일자]], "yyyymmdd")</f>
        <v>SI1665_20260213</v>
      </c>
      <c r="B350" t="s">
        <v>1676</v>
      </c>
      <c r="C350" s="99" t="str">
        <f>IFERROR(VLOOKUP(실험지시[[#This Row],[제품명]],BOM_개발품목[[제품명]:[사양]],5,0),"")</f>
        <v>M201244_03, M201245_04, M110373_02, M110372_01</v>
      </c>
      <c r="D350" s="112" t="str">
        <f>IFERROR(VLOOKUP(실험지시[[#This Row],[제품명]],BOM_개발품목[[제품명]:[사양]],4,0),"")</f>
        <v>SI1665</v>
      </c>
      <c r="E350" s="1">
        <v>46066</v>
      </c>
      <c r="F350" t="s">
        <v>74</v>
      </c>
      <c r="G350" s="1" t="s">
        <v>1646</v>
      </c>
      <c r="I350" s="3"/>
      <c r="J350" s="46">
        <v>14</v>
      </c>
      <c r="L350" s="129" t="str">
        <f>실험지시[[#This Row],[금형코드]]</f>
        <v>M201244_03, M201245_04, M110373_02, M110372_01</v>
      </c>
      <c r="M350" s="131" t="str">
        <f>IFERROR(VLOOKUP($A350,[5]실험의뢰_장진영!$A:$M,5,0),"")</f>
        <v/>
      </c>
      <c r="N350" s="104" t="str">
        <f>IFERROR(VLOOKUP($A350,[5]실험의뢰_장진영!$A:$M,4,0),"")</f>
        <v/>
      </c>
      <c r="O350" s="132" t="str">
        <f>IFERROR(VLOOKUP($A350,[5]실험의뢰_장진영!$A:$M,6,0),"")</f>
        <v/>
      </c>
      <c r="P350" s="99" t="str">
        <f>IFERROR(VLOOKUP(실험지시[[#This Row],[제품명]],BOM_개발품목[[제품명]:[사양]],7,0),"")</f>
        <v>PETG (SK케미칼 PN200)</v>
      </c>
      <c r="Q350" s="104" t="str">
        <f>IFERROR(VLOOKUP($A350,[5]실험의뢰_장진영!$A:$M,11,0),"")</f>
        <v/>
      </c>
      <c r="R350" s="104" t="str">
        <f>IFERROR(VLOOKUP($A350,[5]실험의뢰_장진영!$A:$M,12,0),"")</f>
        <v/>
      </c>
      <c r="S350" s="104" t="str">
        <f>IFERROR(VLOOKUP($A350,[5]실험의뢰_장진영!$A:$M,13,0),"")</f>
        <v/>
      </c>
      <c r="T350" s="58"/>
    </row>
    <row r="351" spans="1:20" ht="30" customHeight="1">
      <c r="A351" s="99" t="str">
        <f>실험지시[[#This Row],[품목코드]] &amp; "_" &amp; TEXT(실험지시[[#This Row],[실험지시일자]], "yyyymmdd")</f>
        <v>SI1640_20260213</v>
      </c>
      <c r="B351" t="s">
        <v>1383</v>
      </c>
      <c r="C351" s="99" t="str">
        <f>IFERROR(VLOOKUP(실험지시[[#This Row],[제품명]],BOM_개발품목[[제품명]:[사양]],5,0),"")</f>
        <v>M251265_01</v>
      </c>
      <c r="D351" s="112" t="str">
        <f>IFERROR(VLOOKUP(실험지시[[#This Row],[제품명]],BOM_개발품목[[제품명]:[사양]],4,0),"")</f>
        <v>SI1640</v>
      </c>
      <c r="E351" s="1">
        <v>46066</v>
      </c>
      <c r="F351" t="s">
        <v>114</v>
      </c>
      <c r="G351" s="1" t="s">
        <v>1767</v>
      </c>
      <c r="H351" t="s">
        <v>1438</v>
      </c>
      <c r="I351" s="3">
        <v>3</v>
      </c>
      <c r="J351" s="46">
        <v>22</v>
      </c>
      <c r="L351" s="129" t="str">
        <f>실험지시[[#This Row],[금형코드]]</f>
        <v>M251265_01</v>
      </c>
      <c r="M351" s="131" t="str">
        <f>IFERROR(VLOOKUP($A351,[5]실험의뢰_장진영!$A:$M,5,0),"")</f>
        <v/>
      </c>
      <c r="N351" s="104" t="s">
        <v>1825</v>
      </c>
      <c r="O351" s="132" t="str">
        <f>IFERROR(VLOOKUP($A351,[5]실험의뢰_장진영!$A:$M,6,0),"")</f>
        <v/>
      </c>
      <c r="P351" s="99" t="str">
        <f>IFERROR(VLOOKUP(실험지시[[#This Row],[제품명]],BOM_개발품목[[제품명]:[사양]],7,0),"")</f>
        <v>POK (효성 M330T)</v>
      </c>
      <c r="Q351" s="104" t="str">
        <f>IFERROR(VLOOKUP($A351,[5]실험의뢰_장진영!$A:$M,11,0),"")</f>
        <v/>
      </c>
      <c r="R351" s="104" t="str">
        <f>IFERROR(VLOOKUP($A351,[5]실험의뢰_장진영!$A:$M,12,0),"")</f>
        <v/>
      </c>
      <c r="S351" s="104" t="str">
        <f>IFERROR(VLOOKUP($A351,[5]실험의뢰_장진영!$A:$M,13,0),"")</f>
        <v/>
      </c>
      <c r="T351" s="58"/>
    </row>
    <row r="352" spans="1:20" ht="30" customHeight="1">
      <c r="A352" s="99" t="str">
        <f>실험지시[[#This Row],[품목코드]] &amp; "_" &amp; TEXT(실험지시[[#This Row],[실험지시일자]], "yyyymmdd")</f>
        <v>SI1674_20260213</v>
      </c>
      <c r="B352" t="s">
        <v>1744</v>
      </c>
      <c r="C352" s="99" t="str">
        <f>IFERROR(VLOOKUP(실험지시[[#This Row],[제품명]],BOM_개발품목[[제품명]:[사양]],5,0),"")</f>
        <v>S251019_01</v>
      </c>
      <c r="D352" s="112" t="str">
        <f>IFERROR(VLOOKUP(실험지시[[#This Row],[제품명]],BOM_개발품목[[제품명]:[사양]],4,0),"")</f>
        <v>SI1674</v>
      </c>
      <c r="E352" s="1">
        <v>46066</v>
      </c>
      <c r="F352" t="s">
        <v>74</v>
      </c>
      <c r="G352" s="1" t="s">
        <v>157</v>
      </c>
      <c r="H352" t="s">
        <v>1645</v>
      </c>
      <c r="I352" s="3">
        <v>2</v>
      </c>
      <c r="J352" s="46">
        <v>14</v>
      </c>
      <c r="L352" s="129" t="str">
        <f>실험지시[[#This Row],[금형코드]]</f>
        <v>S251019_01</v>
      </c>
      <c r="M352" s="131" t="str">
        <f>IFERROR(VLOOKUP($A352,[5]실험의뢰_장진영!$A:$M,5,0),"")</f>
        <v/>
      </c>
      <c r="N352" s="104" t="s">
        <v>1768</v>
      </c>
      <c r="O352" s="132" t="str">
        <f>IFERROR(VLOOKUP($A352,[5]실험의뢰_장진영!$A:$M,6,0),"")</f>
        <v/>
      </c>
      <c r="P352" s="99" t="str">
        <f>IFERROR(VLOOKUP(실험지시[[#This Row],[제품명]],BOM_개발품목[[제품명]:[사양]],7,0),"")</f>
        <v>PP (롯데케미칼 J-560S)</v>
      </c>
      <c r="Q352" s="104" t="str">
        <f>IFERROR(VLOOKUP($A352,[5]실험의뢰_장진영!$A:$M,11,0),"")</f>
        <v/>
      </c>
      <c r="R352" s="104" t="str">
        <f>IFERROR(VLOOKUP($A352,[5]실험의뢰_장진영!$A:$M,12,0),"")</f>
        <v/>
      </c>
      <c r="S352" s="104" t="str">
        <f>IFERROR(VLOOKUP($A352,[5]실험의뢰_장진영!$A:$M,13,0),"")</f>
        <v/>
      </c>
      <c r="T352" s="58"/>
    </row>
    <row r="353" spans="1:20" ht="30" customHeight="1">
      <c r="A353" s="99" t="str">
        <f>실험지시[[#This Row],[품목코드]] &amp; "_" &amp; TEXT(실험지시[[#This Row],[실험지시일자]], "yyyymmdd")</f>
        <v>SI1633_20260220</v>
      </c>
      <c r="B353" t="s">
        <v>928</v>
      </c>
      <c r="C353" s="99" t="str">
        <f>IFERROR(VLOOKUP(실험지시[[#This Row],[제품명]],BOM_개발품목[[제품명]:[사양]],5,0),"")</f>
        <v>M251182_01</v>
      </c>
      <c r="D353" s="112" t="str">
        <f>IFERROR(VLOOKUP(실험지시[[#This Row],[제품명]],BOM_개발품목[[제품명]:[사양]],4,0),"")</f>
        <v>SI1633</v>
      </c>
      <c r="E353" s="1">
        <v>46073</v>
      </c>
      <c r="F353" t="s">
        <v>114</v>
      </c>
      <c r="G353" s="1" t="s">
        <v>499</v>
      </c>
      <c r="H353" t="s">
        <v>500</v>
      </c>
      <c r="I353" s="3">
        <v>5</v>
      </c>
      <c r="J353" s="46">
        <v>22</v>
      </c>
      <c r="L353" s="129" t="str">
        <f>실험지시[[#This Row],[금형코드]]</f>
        <v>M251182_01</v>
      </c>
      <c r="M353" s="131" t="str">
        <f>IFERROR(VLOOKUP($A353,[5]실험의뢰_장진영!$A:$M,5,0),"")</f>
        <v/>
      </c>
      <c r="N353" s="104" t="s">
        <v>1824</v>
      </c>
      <c r="O353" s="132" t="str">
        <f>IFERROR(VLOOKUP($A353,[5]실험의뢰_장진영!$A:$M,6,0),"")</f>
        <v/>
      </c>
      <c r="P353" s="99" t="str">
        <f>IFERROR(VLOOKUP(실험지시[[#This Row],[제품명]],BOM_개발품목[[제품명]:[사양]],7,0),"")</f>
        <v>ABS (롯데첨단소재 MP-0670)</v>
      </c>
      <c r="Q353" s="104" t="str">
        <f>IFERROR(VLOOKUP($A353,[5]실험의뢰_장진영!$A:$M,11,0),"")</f>
        <v/>
      </c>
      <c r="R353" s="104" t="str">
        <f>IFERROR(VLOOKUP($A353,[5]실험의뢰_장진영!$A:$M,12,0),"")</f>
        <v/>
      </c>
      <c r="S353" s="104" t="str">
        <f>IFERROR(VLOOKUP($A353,[5]실험의뢰_장진영!$A:$M,13,0),"")</f>
        <v/>
      </c>
      <c r="T353" s="58"/>
    </row>
    <row r="354" spans="1:20" ht="30" customHeight="1">
      <c r="A354" s="99" t="str">
        <f>실험지시[[#This Row],[품목코드]] &amp; "_" &amp; TEXT(실험지시[[#This Row],[실험지시일자]], "yyyymmdd")</f>
        <v>SI1615_20260224</v>
      </c>
      <c r="B354" t="s">
        <v>935</v>
      </c>
      <c r="C354" s="99" t="str">
        <f>IFERROR(VLOOKUP(실험지시[[#This Row],[제품명]],BOM_개발품목[[제품명]:[사양]],5,0),"")</f>
        <v>M251185_01</v>
      </c>
      <c r="D354" s="112" t="str">
        <f>IFERROR(VLOOKUP(실험지시[[#This Row],[제품명]],BOM_개발품목[[제품명]:[사양]],4,0),"")</f>
        <v>SI1615</v>
      </c>
      <c r="E354" s="1">
        <v>46077</v>
      </c>
      <c r="F354" t="s">
        <v>161</v>
      </c>
      <c r="G354" s="1" t="s">
        <v>499</v>
      </c>
      <c r="H354" t="s">
        <v>500</v>
      </c>
      <c r="I354" s="3">
        <v>5</v>
      </c>
      <c r="J354" s="46">
        <v>17</v>
      </c>
      <c r="K354" s="74">
        <v>250725</v>
      </c>
      <c r="L354" s="129" t="str">
        <f>실험지시[[#This Row],[금형코드]]</f>
        <v>M251185_01</v>
      </c>
      <c r="M354" s="131" t="str">
        <f>IFERROR(VLOOKUP($A354,[5]실험의뢰_장진영!$A:$M,5,0),"")</f>
        <v/>
      </c>
      <c r="N354" s="104" t="s">
        <v>1824</v>
      </c>
      <c r="O354" s="132" t="str">
        <f>IFERROR(VLOOKUP($A354,[5]실험의뢰_장진영!$A:$M,6,0),"")</f>
        <v/>
      </c>
      <c r="P354" s="99" t="str">
        <f>IFERROR(VLOOKUP(실험지시[[#This Row],[제품명]],BOM_개발품목[[제품명]:[사양]],7,0),"")</f>
        <v>ABS (롯데첨단소재 MP-0670)</v>
      </c>
      <c r="Q354" s="104" t="str">
        <f>IFERROR(VLOOKUP($A354,[5]실험의뢰_장진영!$A:$M,11,0),"")</f>
        <v/>
      </c>
      <c r="R354" s="104" t="str">
        <f>IFERROR(VLOOKUP($A354,[5]실험의뢰_장진영!$A:$M,12,0),"")</f>
        <v/>
      </c>
      <c r="S354" s="104" t="str">
        <f>IFERROR(VLOOKUP($A354,[5]실험의뢰_장진영!$A:$M,13,0),"")</f>
        <v/>
      </c>
      <c r="T354" s="58"/>
    </row>
    <row r="355" spans="1:20" ht="30" customHeight="1">
      <c r="A355" s="99" t="str">
        <f>실험지시[[#This Row],[품목코드]] &amp; "_" &amp; TEXT(실험지시[[#This Row],[실험지시일자]], "yyyymmdd")</f>
        <v>SI1616_20260225</v>
      </c>
      <c r="B355" t="s">
        <v>936</v>
      </c>
      <c r="C355" s="99" t="str">
        <f>IFERROR(VLOOKUP(실험지시[[#This Row],[제품명]],BOM_개발품목[[제품명]:[사양]],5,0),"")</f>
        <v>M251186_01</v>
      </c>
      <c r="D355" s="112" t="str">
        <f>IFERROR(VLOOKUP(실험지시[[#This Row],[제품명]],BOM_개발품목[[제품명]:[사양]],4,0),"")</f>
        <v>SI1616</v>
      </c>
      <c r="E355" s="1">
        <v>46078</v>
      </c>
      <c r="G355" s="100" t="s">
        <v>484</v>
      </c>
      <c r="H355" t="s">
        <v>1445</v>
      </c>
      <c r="I355" s="3">
        <v>6</v>
      </c>
      <c r="J355" s="46">
        <v>20</v>
      </c>
      <c r="K355" s="74">
        <v>250930</v>
      </c>
      <c r="L355" s="129" t="str">
        <f>실험지시[[#This Row],[금형코드]]</f>
        <v>M251186_01</v>
      </c>
      <c r="M355" s="131" t="str">
        <f>IFERROR(VLOOKUP($A355,[5]실험의뢰_장진영!$A:$M,5,0),"")</f>
        <v/>
      </c>
      <c r="N355" s="104" t="s">
        <v>1823</v>
      </c>
      <c r="O355" s="132" t="str">
        <f>IFERROR(VLOOKUP($A355,[5]실험의뢰_장진영!$A:$M,6,0),"")</f>
        <v/>
      </c>
      <c r="P355" s="99" t="str">
        <f>IFERROR(VLOOKUP(실험지시[[#This Row],[제품명]],BOM_개발품목[[제품명]:[사양]],7,0),"")</f>
        <v>Hytrel (Dupont H7246)</v>
      </c>
      <c r="Q355" s="104" t="str">
        <f>IFERROR(VLOOKUP($A355,[5]실험의뢰_장진영!$A:$M,11,0),"")</f>
        <v/>
      </c>
      <c r="R355" s="104" t="str">
        <f>IFERROR(VLOOKUP($A355,[5]실험의뢰_장진영!$A:$M,12,0),"")</f>
        <v/>
      </c>
      <c r="S355" s="104" t="str">
        <f>IFERROR(VLOOKUP($A355,[5]실험의뢰_장진영!$A:$M,13,0),"")</f>
        <v/>
      </c>
      <c r="T355" s="58"/>
    </row>
    <row r="356" spans="1:20" ht="30" customHeight="1">
      <c r="A356" s="99" t="str">
        <f>실험지시[[#This Row],[품목코드]] &amp; "_" &amp; TEXT(실험지시[[#This Row],[실험지시일자]], "yyyymmdd")</f>
        <v>SI1678_20260225</v>
      </c>
      <c r="B356" t="s">
        <v>1809</v>
      </c>
      <c r="C356" s="99" t="str">
        <f>IFERROR(VLOOKUP(실험지시[[#This Row],[제품명]],BOM_개발품목[[제품명]:[사양]],5,0),"")</f>
        <v>M261008_01</v>
      </c>
      <c r="D356" s="112" t="str">
        <f>IFERROR(VLOOKUP(실험지시[[#This Row],[제품명]],BOM_개발품목[[제품명]:[사양]],4,0),"")</f>
        <v>SI1678</v>
      </c>
      <c r="E356" s="1">
        <v>46078</v>
      </c>
      <c r="F356" t="s">
        <v>74</v>
      </c>
      <c r="G356" s="1" t="s">
        <v>499</v>
      </c>
      <c r="H356" t="s">
        <v>1818</v>
      </c>
      <c r="I356" s="3">
        <v>5</v>
      </c>
      <c r="J356" s="46">
        <v>22</v>
      </c>
      <c r="L356" s="129" t="str">
        <f>실험지시[[#This Row],[금형코드]]</f>
        <v>M261008_01</v>
      </c>
      <c r="M356" s="131" t="str">
        <f>IFERROR(VLOOKUP($A356,[5]실험의뢰_장진영!$A:$M,5,0),"")</f>
        <v/>
      </c>
      <c r="N356" s="104" t="s">
        <v>850</v>
      </c>
      <c r="O356" s="132" t="str">
        <f>IFERROR(VLOOKUP($A356,[5]실험의뢰_장진영!$A:$M,6,0),"")</f>
        <v/>
      </c>
      <c r="P356" s="99" t="str">
        <f>IFERROR(VLOOKUP(실험지시[[#This Row],[제품명]],BOM_개발품목[[제품명]:[사양]],7,0),"")</f>
        <v>ABS (롯데첨단소재 MP-0670)</v>
      </c>
      <c r="Q356" s="104" t="str">
        <f>IFERROR(VLOOKUP($A356,[5]실험의뢰_장진영!$A:$M,11,0),"")</f>
        <v/>
      </c>
      <c r="R356" s="104" t="str">
        <f>IFERROR(VLOOKUP($A356,[5]실험의뢰_장진영!$A:$M,12,0),"")</f>
        <v/>
      </c>
      <c r="S356" s="104" t="str">
        <f>IFERROR(VLOOKUP($A356,[5]실험의뢰_장진영!$A:$M,13,0),"")</f>
        <v/>
      </c>
      <c r="T356" s="58"/>
    </row>
    <row r="357" spans="1:20" ht="30" customHeight="1">
      <c r="A357" s="99" t="str">
        <f>실험지시[[#This Row],[품목코드]] &amp; "_" &amp; TEXT(실험지시[[#This Row],[실험지시일자]], "yyyymmdd")</f>
        <v>SI1679_20260304</v>
      </c>
      <c r="B357" t="s">
        <v>1815</v>
      </c>
      <c r="C357" s="99" t="str">
        <f>IFERROR(VLOOKUP(실험지시[[#This Row],[제품명]],BOM_개발품목[[제품명]:[사양]],5,0),"")</f>
        <v>M261009_01</v>
      </c>
      <c r="D357" s="112" t="str">
        <f>IFERROR(VLOOKUP(실험지시[[#This Row],[제품명]],BOM_개발품목[[제품명]:[사양]],4,0),"")</f>
        <v>SI1679</v>
      </c>
      <c r="E357" s="1">
        <v>46085</v>
      </c>
      <c r="F357" t="s">
        <v>74</v>
      </c>
      <c r="G357" s="1" t="s">
        <v>499</v>
      </c>
      <c r="H357" t="s">
        <v>1818</v>
      </c>
      <c r="I357" s="3">
        <v>5</v>
      </c>
      <c r="J357" s="46">
        <v>15</v>
      </c>
      <c r="L357" s="129" t="str">
        <f>실험지시[[#This Row],[금형코드]]</f>
        <v>M261009_01</v>
      </c>
      <c r="M357" s="131" t="str">
        <f>IFERROR(VLOOKUP($A357,[5]실험의뢰_장진영!$A:$M,5,0),"")</f>
        <v/>
      </c>
      <c r="N357" s="104" t="s">
        <v>850</v>
      </c>
      <c r="O357" s="132" t="str">
        <f>IFERROR(VLOOKUP($A357,[5]실험의뢰_장진영!$A:$M,6,0),"")</f>
        <v/>
      </c>
      <c r="P357" s="99" t="str">
        <f>IFERROR(VLOOKUP(실험지시[[#This Row],[제품명]],BOM_개발품목[[제품명]:[사양]],7,0),"")</f>
        <v>ABS (롯데첨단소재 MP-0670)</v>
      </c>
      <c r="Q357" s="104" t="str">
        <f>IFERROR(VLOOKUP($A357,[5]실험의뢰_장진영!$A:$M,11,0),"")</f>
        <v/>
      </c>
      <c r="R357" s="104" t="str">
        <f>IFERROR(VLOOKUP($A357,[5]실험의뢰_장진영!$A:$M,12,0),"")</f>
        <v/>
      </c>
      <c r="S357" s="104" t="str">
        <f>IFERROR(VLOOKUP($A357,[5]실험의뢰_장진영!$A:$M,13,0),"")</f>
        <v/>
      </c>
      <c r="T357" s="58"/>
    </row>
    <row r="358" spans="1:20" ht="30" customHeight="1">
      <c r="A358" s="99" t="str">
        <f>실험지시[[#This Row],[품목코드]] &amp; "_" &amp; TEXT(실험지시[[#This Row],[실험지시일자]], "yyyymmdd")</f>
        <v>SI1658_20260304</v>
      </c>
      <c r="B358" t="s">
        <v>1769</v>
      </c>
      <c r="C358" s="99" t="str">
        <f>IFERROR(VLOOKUP(실험지시[[#This Row],[제품명]],BOM_개발품목[[제품명]:[사양]],5,0),"")</f>
        <v>M201244_03, M201245_04, M110373_02, M110372_01</v>
      </c>
      <c r="D358" s="112" t="str">
        <f>IFERROR(VLOOKUP(실험지시[[#This Row],[제품명]],BOM_개발품목[[제품명]:[사양]],4,0),"")</f>
        <v>SI1658</v>
      </c>
      <c r="E358" s="1">
        <v>46085</v>
      </c>
      <c r="F358" t="s">
        <v>74</v>
      </c>
      <c r="G358" s="1" t="s">
        <v>1646</v>
      </c>
      <c r="H358" t="s">
        <v>1819</v>
      </c>
      <c r="I358" s="3">
        <v>1.5</v>
      </c>
      <c r="J358" s="46">
        <v>12</v>
      </c>
      <c r="L358" s="129" t="str">
        <f>실험지시[[#This Row],[금형코드]]</f>
        <v>M201244_03, M201245_04, M110373_02, M110372_01</v>
      </c>
      <c r="M358" s="131" t="str">
        <f>IFERROR(VLOOKUP($A358,[5]실험의뢰_장진영!$A:$M,5,0),"")</f>
        <v/>
      </c>
      <c r="N358" s="104" t="s">
        <v>1821</v>
      </c>
      <c r="O358" s="132" t="str">
        <f>IFERROR(VLOOKUP($A358,[5]실험의뢰_장진영!$A:$M,6,0),"")</f>
        <v/>
      </c>
      <c r="P358" s="99" t="str">
        <f>IFERROR(VLOOKUP(실험지시[[#This Row],[제품명]],BOM_개발품목[[제품명]:[사양]],7,0),"")</f>
        <v>PCTA (이스트만 AN004)</v>
      </c>
      <c r="Q358" s="104" t="str">
        <f>IFERROR(VLOOKUP($A358,[5]실험의뢰_장진영!$A:$M,11,0),"")</f>
        <v/>
      </c>
      <c r="R358" s="104" t="str">
        <f>IFERROR(VLOOKUP($A358,[5]실험의뢰_장진영!$A:$M,12,0),"")</f>
        <v/>
      </c>
      <c r="S358" s="104" t="str">
        <f>IFERROR(VLOOKUP($A358,[5]실험의뢰_장진영!$A:$M,13,0),"")</f>
        <v/>
      </c>
      <c r="T358" s="58"/>
    </row>
    <row r="359" spans="1:20" ht="30" customHeight="1">
      <c r="A359" s="99" t="str">
        <f>실험지시[[#This Row],[품목코드]] &amp; "_" &amp; TEXT(실험지시[[#This Row],[실험지시일자]], "yyyymmdd")</f>
        <v>SI1671_20260306</v>
      </c>
      <c r="B359" t="s">
        <v>1698</v>
      </c>
      <c r="C359" s="99" t="str">
        <f>IFERROR(VLOOKUP(실험지시[[#This Row],[제품명]],BOM_개발품목[[제품명]:[사양]],5,0),"")</f>
        <v>M251359_01</v>
      </c>
      <c r="D359" s="112" t="str">
        <f>IFERROR(VLOOKUP(실험지시[[#This Row],[제품명]],BOM_개발품목[[제품명]:[사양]],4,0),"")</f>
        <v>SI1671</v>
      </c>
      <c r="E359" s="1">
        <v>46087</v>
      </c>
      <c r="F359" t="s">
        <v>74</v>
      </c>
      <c r="G359" s="1" t="s">
        <v>157</v>
      </c>
      <c r="H359" t="s">
        <v>1704</v>
      </c>
      <c r="I359" s="3">
        <v>2.5</v>
      </c>
      <c r="J359" s="46">
        <v>4</v>
      </c>
      <c r="L359" s="129" t="str">
        <f>실험지시[[#This Row],[금형코드]]</f>
        <v>M251359_01</v>
      </c>
      <c r="M359" s="131" t="str">
        <f>IFERROR(VLOOKUP($A359,[5]실험의뢰_장진영!$A:$M,5,0),"")</f>
        <v/>
      </c>
      <c r="N359" s="104" t="s">
        <v>1820</v>
      </c>
      <c r="O359" s="132" t="str">
        <f>IFERROR(VLOOKUP($A359,[5]실험의뢰_장진영!$A:$M,6,0),"")</f>
        <v/>
      </c>
      <c r="P359" s="99" t="str">
        <f>IFERROR(VLOOKUP(실험지시[[#This Row],[제품명]],BOM_개발품목[[제품명]:[사양]],7,0),"")</f>
        <v>PP (롯데케미칼 J-560S)</v>
      </c>
      <c r="Q359" s="104" t="str">
        <f>IFERROR(VLOOKUP($A359,[5]실험의뢰_장진영!$A:$M,11,0),"")</f>
        <v/>
      </c>
      <c r="R359" s="104" t="str">
        <f>IFERROR(VLOOKUP($A359,[5]실험의뢰_장진영!$A:$M,12,0),"")</f>
        <v/>
      </c>
      <c r="S359" s="104" t="str">
        <f>IFERROR(VLOOKUP($A359,[5]실험의뢰_장진영!$A:$M,13,0),"")</f>
        <v/>
      </c>
      <c r="T359" s="58"/>
    </row>
    <row r="360" spans="1:20" ht="30" customHeight="1">
      <c r="A360" s="99" t="str">
        <f>실험지시[[#This Row],[품목코드]] &amp; "_" &amp; TEXT(실험지시[[#This Row],[실험지시일자]], "yyyymmdd")</f>
        <v>SI1668_20260306</v>
      </c>
      <c r="B360" t="s">
        <v>1683</v>
      </c>
      <c r="C360" s="99" t="str">
        <f>IFERROR(VLOOKUP(실험지시[[#This Row],[제품명]],BOM_개발품목[[제품명]:[사양]],5,0),"")</f>
        <v>M251356_01</v>
      </c>
      <c r="D360" s="112" t="str">
        <f>IFERROR(VLOOKUP(실험지시[[#This Row],[제품명]],BOM_개발품목[[제품명]:[사양]],4,0),"")</f>
        <v>SI1668</v>
      </c>
      <c r="E360" s="1">
        <v>46087</v>
      </c>
      <c r="F360" t="s">
        <v>74</v>
      </c>
      <c r="G360" s="1" t="s">
        <v>157</v>
      </c>
      <c r="H360" t="s">
        <v>1826</v>
      </c>
      <c r="I360" s="3">
        <v>4</v>
      </c>
      <c r="J360" s="46">
        <v>4</v>
      </c>
      <c r="L360" s="129" t="str">
        <f>실험지시[[#This Row],[금형코드]]</f>
        <v>M251356_01</v>
      </c>
      <c r="M360" s="131" t="str">
        <f>IFERROR(VLOOKUP($A360,[5]실험의뢰_장진영!$A:$M,5,0),"")</f>
        <v/>
      </c>
      <c r="N360" s="104" t="s">
        <v>1822</v>
      </c>
      <c r="O360" s="132" t="str">
        <f>IFERROR(VLOOKUP($A360,[5]실험의뢰_장진영!$A:$M,6,0),"")</f>
        <v/>
      </c>
      <c r="P360" s="99" t="str">
        <f>IFERROR(VLOOKUP(실험지시[[#This Row],[제품명]],BOM_개발품목[[제품명]:[사양]],7,0),"")</f>
        <v>PP (롯데케미칼 J-560S)</v>
      </c>
      <c r="Q360" s="104" t="str">
        <f>IFERROR(VLOOKUP($A360,[5]실험의뢰_장진영!$A:$M,11,0),"")</f>
        <v/>
      </c>
      <c r="R360" s="104" t="str">
        <f>IFERROR(VLOOKUP($A360,[5]실험의뢰_장진영!$A:$M,12,0),"")</f>
        <v/>
      </c>
      <c r="S360" s="104" t="str">
        <f>IFERROR(VLOOKUP($A360,[5]실험의뢰_장진영!$A:$M,13,0),"")</f>
        <v/>
      </c>
      <c r="T360" s="58"/>
    </row>
    <row r="361" spans="1:20" ht="30" customHeight="1">
      <c r="A361" s="99" t="str">
        <f>실험지시[[#This Row],[품목코드]] &amp; "_" &amp; TEXT(실험지시[[#This Row],[실험지시일자]], "yyyymmdd")</f>
        <v>SI1672_20260304</v>
      </c>
      <c r="B361" t="s">
        <v>1739</v>
      </c>
      <c r="C361" s="99" t="str">
        <f>IFERROR(VLOOKUP(실험지시[[#This Row],[제품명]],BOM_개발품목[[제품명]:[사양]],5,0),"")</f>
        <v>S251017_01</v>
      </c>
      <c r="D361" s="112" t="str">
        <f>IFERROR(VLOOKUP(실험지시[[#This Row],[제품명]],BOM_개발품목[[제품명]:[사양]],4,0),"")</f>
        <v>SI1672</v>
      </c>
      <c r="E361" s="1">
        <v>46085</v>
      </c>
      <c r="F361" t="s">
        <v>74</v>
      </c>
      <c r="G361" s="1" t="s">
        <v>499</v>
      </c>
      <c r="H361">
        <v>713</v>
      </c>
      <c r="I361" s="3">
        <v>4</v>
      </c>
      <c r="J361" s="46">
        <v>15</v>
      </c>
      <c r="L361" s="129" t="str">
        <f>실험지시[[#This Row],[금형코드]]</f>
        <v>S251017_01</v>
      </c>
      <c r="M361" s="131" t="str">
        <f>IFERROR(VLOOKUP($A361,[5]실험의뢰_장진영!$A:$M,5,0),"")</f>
        <v/>
      </c>
      <c r="N361" s="104" t="str">
        <f>IFERROR(VLOOKUP($A361,[5]실험의뢰_장진영!$A:$M,4,0),"")</f>
        <v/>
      </c>
      <c r="O361" s="132" t="str">
        <f>IFERROR(VLOOKUP($A361,[5]실험의뢰_장진영!$A:$M,6,0),"")</f>
        <v/>
      </c>
      <c r="P361" s="99" t="str">
        <f>IFERROR(VLOOKUP(실험지시[[#This Row],[제품명]],BOM_개발품목[[제품명]:[사양]],7,0),"")</f>
        <v>ABS (롯데첨단소재 MP-0670)</v>
      </c>
      <c r="Q361" s="104" t="str">
        <f>IFERROR(VLOOKUP($A361,[5]실험의뢰_장진영!$A:$M,11,0),"")</f>
        <v/>
      </c>
      <c r="R361" s="104" t="str">
        <f>IFERROR(VLOOKUP($A361,[5]실험의뢰_장진영!$A:$M,12,0),"")</f>
        <v/>
      </c>
      <c r="S361" s="104" t="str">
        <f>IFERROR(VLOOKUP($A361,[5]실험의뢰_장진영!$A:$M,13,0),"")</f>
        <v/>
      </c>
      <c r="T361" s="58"/>
    </row>
    <row r="362" spans="1:20" ht="30" customHeight="1">
      <c r="A362" s="99" t="str">
        <f>실험지시[[#This Row],[품목코드]] &amp; "_" &amp; TEXT(실험지시[[#This Row],[실험지시일자]], "yyyymmdd")</f>
        <v>SI1673_20260304</v>
      </c>
      <c r="B362" t="s">
        <v>1742</v>
      </c>
      <c r="C362" s="99" t="str">
        <f>IFERROR(VLOOKUP(실험지시[[#This Row],[제품명]],BOM_개발품목[[제품명]:[사양]],5,0),"")</f>
        <v>S251017_01</v>
      </c>
      <c r="D362" s="112" t="str">
        <f>IFERROR(VLOOKUP(실험지시[[#This Row],[제품명]],BOM_개발품목[[제품명]:[사양]],4,0),"")</f>
        <v>SI1673</v>
      </c>
      <c r="E362" s="1">
        <v>46085</v>
      </c>
      <c r="F362" t="s">
        <v>74</v>
      </c>
      <c r="G362" s="1" t="s">
        <v>499</v>
      </c>
      <c r="H362">
        <v>713</v>
      </c>
      <c r="I362" s="3">
        <v>4</v>
      </c>
      <c r="J362" s="46">
        <v>15</v>
      </c>
      <c r="L362" s="129" t="str">
        <f>실험지시[[#This Row],[금형코드]]</f>
        <v>S251017_01</v>
      </c>
      <c r="M362" s="131" t="str">
        <f>IFERROR(VLOOKUP($A362,[5]실험의뢰_장진영!$A:$M,5,0),"")</f>
        <v/>
      </c>
      <c r="N362" s="104" t="str">
        <f>IFERROR(VLOOKUP($A362,[5]실험의뢰_장진영!$A:$M,4,0),"")</f>
        <v/>
      </c>
      <c r="O362" s="132" t="str">
        <f>IFERROR(VLOOKUP($A362,[5]실험의뢰_장진영!$A:$M,6,0),"")</f>
        <v/>
      </c>
      <c r="P362" s="99" t="str">
        <f>IFERROR(VLOOKUP(실험지시[[#This Row],[제품명]],BOM_개발품목[[제품명]:[사양]],7,0),"")</f>
        <v>ABS (롯데첨단소재 MP-0670)</v>
      </c>
      <c r="Q362" s="104" t="str">
        <f>IFERROR(VLOOKUP($A362,[5]실험의뢰_장진영!$A:$M,11,0),"")</f>
        <v/>
      </c>
      <c r="R362" s="104" t="str">
        <f>IFERROR(VLOOKUP($A362,[5]실험의뢰_장진영!$A:$M,12,0),"")</f>
        <v/>
      </c>
      <c r="S362" s="104" t="str">
        <f>IFERROR(VLOOKUP($A362,[5]실험의뢰_장진영!$A:$M,13,0),"")</f>
        <v/>
      </c>
      <c r="T362" s="58"/>
    </row>
    <row r="363" spans="1:20" ht="30" customHeight="1">
      <c r="A363" s="99" t="str">
        <f>실험지시[[#This Row],[품목코드]] &amp; "_" &amp; TEXT(실험지시[[#This Row],[실험지시일자]], "yyyymmdd")</f>
        <v>SI1676_20260305</v>
      </c>
      <c r="B363" t="s">
        <v>1746</v>
      </c>
      <c r="C363" s="99" t="str">
        <f>IFERROR(VLOOKUP(실험지시[[#This Row],[제품명]],BOM_개발품목[[제품명]:[사양]],5,0),"")</f>
        <v>S251018_01</v>
      </c>
      <c r="D363" s="112" t="str">
        <f>IFERROR(VLOOKUP(실험지시[[#This Row],[제품명]],BOM_개발품목[[제품명]:[사양]],4,0),"")</f>
        <v>SI1676</v>
      </c>
      <c r="E363" s="1">
        <v>46086</v>
      </c>
      <c r="F363" t="s">
        <v>74</v>
      </c>
      <c r="G363" s="1" t="s">
        <v>152</v>
      </c>
      <c r="H363" t="s">
        <v>1645</v>
      </c>
      <c r="I363" s="3">
        <v>2</v>
      </c>
      <c r="J363" s="46">
        <v>15</v>
      </c>
      <c r="L363" s="129" t="str">
        <f>실험지시[[#This Row],[금형코드]]</f>
        <v>S251018_01</v>
      </c>
      <c r="M363" s="131" t="str">
        <f>IFERROR(VLOOKUP($A363,[5]실험의뢰_장진영!$A:$M,5,0),"")</f>
        <v/>
      </c>
      <c r="N363" s="104" t="str">
        <f>IFERROR(VLOOKUP($A363,[5]실험의뢰_장진영!$A:$M,4,0),"")</f>
        <v/>
      </c>
      <c r="O363" s="132" t="str">
        <f>IFERROR(VLOOKUP($A363,[5]실험의뢰_장진영!$A:$M,6,0),"")</f>
        <v/>
      </c>
      <c r="P363" s="99" t="str">
        <f>IFERROR(VLOOKUP(실험지시[[#This Row],[제품명]],BOM_개발품목[[제품명]:[사양]],7,0),"")</f>
        <v>PP+PE</v>
      </c>
      <c r="Q363" s="104" t="str">
        <f>IFERROR(VLOOKUP($A363,[5]실험의뢰_장진영!$A:$M,11,0),"")</f>
        <v/>
      </c>
      <c r="R363" s="104" t="str">
        <f>IFERROR(VLOOKUP($A363,[5]실험의뢰_장진영!$A:$M,12,0),"")</f>
        <v/>
      </c>
      <c r="S363" s="104" t="str">
        <f>IFERROR(VLOOKUP($A363,[5]실험의뢰_장진영!$A:$M,13,0),"")</f>
        <v/>
      </c>
      <c r="T363" s="58"/>
    </row>
    <row r="364" spans="1:20" ht="30" customHeight="1">
      <c r="A364" s="99" t="str">
        <f>실험지시[[#This Row],[품목코드]] &amp; "_" &amp; TEXT(실험지시[[#This Row],[실험지시일자]], "yyyymmdd")</f>
        <v>SI1675_20260305</v>
      </c>
      <c r="B364" t="s">
        <v>1749</v>
      </c>
      <c r="C364" s="99" t="str">
        <f>IFERROR(VLOOKUP(실험지시[[#This Row],[제품명]],BOM_개발품목[[제품명]:[사양]],5,0),"")</f>
        <v>S251018_01</v>
      </c>
      <c r="D364" s="112" t="str">
        <f>IFERROR(VLOOKUP(실험지시[[#This Row],[제품명]],BOM_개발품목[[제품명]:[사양]],4,0),"")</f>
        <v>SI1675</v>
      </c>
      <c r="E364" s="1">
        <v>46086</v>
      </c>
      <c r="F364" t="s">
        <v>74</v>
      </c>
      <c r="G364" s="1" t="s">
        <v>1764</v>
      </c>
      <c r="H364" t="s">
        <v>1645</v>
      </c>
      <c r="I364" s="3">
        <v>2</v>
      </c>
      <c r="J364" s="46">
        <v>15</v>
      </c>
      <c r="L364" s="129" t="str">
        <f>실험지시[[#This Row],[금형코드]]</f>
        <v>S251018_01</v>
      </c>
      <c r="M364" s="131" t="str">
        <f>IFERROR(VLOOKUP($A364,[5]실험의뢰_장진영!$A:$M,5,0),"")</f>
        <v/>
      </c>
      <c r="N364" s="104" t="str">
        <f>IFERROR(VLOOKUP($A364,[5]실험의뢰_장진영!$A:$M,4,0),"")</f>
        <v/>
      </c>
      <c r="O364" s="132" t="str">
        <f>IFERROR(VLOOKUP($A364,[5]실험의뢰_장진영!$A:$M,6,0),"")</f>
        <v/>
      </c>
      <c r="P364" s="99" t="str">
        <f>IFERROR(VLOOKUP(실험지시[[#This Row],[제품명]],BOM_개발품목[[제품명]:[사양]],7,0),"")</f>
        <v>PP+PE</v>
      </c>
      <c r="Q364" s="104" t="str">
        <f>IFERROR(VLOOKUP($A364,[5]실험의뢰_장진영!$A:$M,11,0),"")</f>
        <v/>
      </c>
      <c r="R364" s="104" t="str">
        <f>IFERROR(VLOOKUP($A364,[5]실험의뢰_장진영!$A:$M,12,0),"")</f>
        <v/>
      </c>
      <c r="S364" s="104" t="str">
        <f>IFERROR(VLOOKUP($A364,[5]실험의뢰_장진영!$A:$M,13,0),"")</f>
        <v/>
      </c>
      <c r="T364" s="58"/>
    </row>
    <row r="365" spans="1:20" ht="30" customHeight="1">
      <c r="A365" s="99" t="str">
        <f>실험지시[[#This Row],[품목코드]] &amp; "_" &amp; TEXT(실험지시[[#This Row],[실험지시일자]], "yyyymmdd")</f>
        <v>SI1674_20260305</v>
      </c>
      <c r="B365" t="s">
        <v>1744</v>
      </c>
      <c r="C365" s="99" t="str">
        <f>IFERROR(VLOOKUP(실험지시[[#This Row],[제품명]],BOM_개발품목[[제품명]:[사양]],5,0),"")</f>
        <v>S251019_01</v>
      </c>
      <c r="D365" s="112" t="str">
        <f>IFERROR(VLOOKUP(실험지시[[#This Row],[제품명]],BOM_개발품목[[제품명]:[사양]],4,0),"")</f>
        <v>SI1674</v>
      </c>
      <c r="E365" s="1">
        <v>46086</v>
      </c>
      <c r="F365" t="s">
        <v>74</v>
      </c>
      <c r="G365" s="1" t="s">
        <v>152</v>
      </c>
      <c r="H365" t="s">
        <v>1645</v>
      </c>
      <c r="I365" s="3">
        <v>2</v>
      </c>
      <c r="J365" s="46">
        <v>15</v>
      </c>
      <c r="K365" s="74">
        <v>260224</v>
      </c>
      <c r="L365" s="129" t="str">
        <f>실험지시[[#This Row],[금형코드]]</f>
        <v>S251019_01</v>
      </c>
      <c r="M365" s="131" t="str">
        <f>IFERROR(VLOOKUP($A365,[5]실험의뢰_장진영!$A:$M,5,0),"")</f>
        <v/>
      </c>
      <c r="N365" s="104" t="str">
        <f>IFERROR(VLOOKUP($A365,[5]실험의뢰_장진영!$A:$M,4,0),"")</f>
        <v/>
      </c>
      <c r="O365" s="132" t="str">
        <f>IFERROR(VLOOKUP($A365,[5]실험의뢰_장진영!$A:$M,6,0),"")</f>
        <v/>
      </c>
      <c r="P365" s="99" t="str">
        <f>IFERROR(VLOOKUP(실험지시[[#This Row],[제품명]],BOM_개발품목[[제품명]:[사양]],7,0),"")</f>
        <v>PP (롯데케미칼 J-560S)</v>
      </c>
      <c r="Q365" s="104" t="str">
        <f>IFERROR(VLOOKUP($A365,[5]실험의뢰_장진영!$A:$M,11,0),"")</f>
        <v/>
      </c>
      <c r="R365" s="104" t="str">
        <f>IFERROR(VLOOKUP($A365,[5]실험의뢰_장진영!$A:$M,12,0),"")</f>
        <v/>
      </c>
      <c r="S365" s="104" t="str">
        <f>IFERROR(VLOOKUP($A365,[5]실험의뢰_장진영!$A:$M,13,0),"")</f>
        <v/>
      </c>
      <c r="T365" s="58"/>
    </row>
    <row r="366" spans="1:20" ht="30" customHeight="1">
      <c r="A366" s="99" t="str">
        <f>실험지시[[#This Row],[품목코드]] &amp; "_" &amp; TEXT(실험지시[[#This Row],[실험지시일자]], "yyyymmdd")</f>
        <v>SI1632_20260310</v>
      </c>
      <c r="B366" t="s">
        <v>927</v>
      </c>
      <c r="C366" s="99" t="str">
        <f>IFERROR(VLOOKUP(실험지시[[#This Row],[제품명]],BOM_개발품목[[제품명]:[사양]],5,0),"")</f>
        <v>M251181_01</v>
      </c>
      <c r="D366" s="112" t="str">
        <f>IFERROR(VLOOKUP(실험지시[[#This Row],[제품명]],BOM_개발품목[[제품명]:[사양]],4,0),"")</f>
        <v>SI1632</v>
      </c>
      <c r="E366" s="1">
        <v>46091</v>
      </c>
      <c r="F366" t="s">
        <v>161</v>
      </c>
      <c r="G366" s="1" t="s">
        <v>157</v>
      </c>
      <c r="H366" t="s">
        <v>1649</v>
      </c>
      <c r="I366" s="3">
        <v>5</v>
      </c>
      <c r="J366" s="46">
        <v>15</v>
      </c>
      <c r="K366" s="74">
        <v>250708</v>
      </c>
      <c r="L366" s="129" t="str">
        <f>실험지시[[#This Row],[금형코드]]</f>
        <v>M251181_01</v>
      </c>
      <c r="M366" s="131" t="str">
        <f>IFERROR(VLOOKUP($A366,[5]실험의뢰_장진영!$A:$M,5,0),"")</f>
        <v/>
      </c>
      <c r="N366" s="104" t="str">
        <f>IFERROR(VLOOKUP($A366,[5]실험의뢰_장진영!$A:$M,4,0),"")</f>
        <v/>
      </c>
      <c r="O366" s="132" t="str">
        <f>IFERROR(VLOOKUP($A366,[5]실험의뢰_장진영!$A:$M,6,0),"")</f>
        <v/>
      </c>
      <c r="P366" s="99" t="str">
        <f>IFERROR(VLOOKUP(실험지시[[#This Row],[제품명]],BOM_개발품목[[제품명]:[사양]],7,0),"")</f>
        <v>PP (롯데케미칼 J-560S)</v>
      </c>
      <c r="Q366" s="104" t="str">
        <f>IFERROR(VLOOKUP($A366,[5]실험의뢰_장진영!$A:$M,11,0),"")</f>
        <v/>
      </c>
      <c r="R366" s="104" t="str">
        <f>IFERROR(VLOOKUP($A366,[5]실험의뢰_장진영!$A:$M,12,0),"")</f>
        <v/>
      </c>
      <c r="S366" s="104" t="str">
        <f>IFERROR(VLOOKUP($A366,[5]실험의뢰_장진영!$A:$M,13,0),"")</f>
        <v/>
      </c>
      <c r="T366" s="58"/>
    </row>
    <row r="367" spans="1:20" ht="30" customHeight="1">
      <c r="A367" s="99" t="str">
        <f>실험지시[[#This Row],[품목코드]] &amp; "_" &amp; TEXT(실험지시[[#This Row],[실험지시일자]], "yyyymmdd")</f>
        <v>SI1671_20260311</v>
      </c>
      <c r="B367" t="s">
        <v>1698</v>
      </c>
      <c r="C367" s="99" t="str">
        <f>IFERROR(VLOOKUP(실험지시[[#This Row],[제품명]],BOM_개발품목[[제품명]:[사양]],5,0),"")</f>
        <v>M251359_01</v>
      </c>
      <c r="D367" s="112" t="str">
        <f>IFERROR(VLOOKUP(실험지시[[#This Row],[제품명]],BOM_개발품목[[제품명]:[사양]],4,0),"")</f>
        <v>SI1671</v>
      </c>
      <c r="E367" s="1">
        <v>46092</v>
      </c>
      <c r="F367" t="s">
        <v>114</v>
      </c>
      <c r="G367" s="1" t="s">
        <v>157</v>
      </c>
      <c r="H367" t="s">
        <v>1704</v>
      </c>
      <c r="I367" s="3">
        <v>2.5</v>
      </c>
      <c r="J367" s="46">
        <v>12</v>
      </c>
      <c r="L367" s="129" t="str">
        <f>실험지시[[#This Row],[금형코드]]</f>
        <v>M251359_01</v>
      </c>
      <c r="M367" s="131" t="str">
        <f>IFERROR(VLOOKUP($A367,[5]실험의뢰_장진영!$A:$M,5,0),"")</f>
        <v/>
      </c>
      <c r="N367" s="104" t="str">
        <f>IFERROR(VLOOKUP($A367,[5]실험의뢰_장진영!$A:$M,4,0),"")</f>
        <v/>
      </c>
      <c r="O367" s="132" t="str">
        <f>IFERROR(VLOOKUP($A367,[5]실험의뢰_장진영!$A:$M,6,0),"")</f>
        <v/>
      </c>
      <c r="P367" s="99" t="str">
        <f>IFERROR(VLOOKUP(실험지시[[#This Row],[제품명]],BOM_개발품목[[제품명]:[사양]],7,0),"")</f>
        <v>PP (롯데케미칼 J-560S)</v>
      </c>
      <c r="Q367" s="104" t="str">
        <f>IFERROR(VLOOKUP($A367,[5]실험의뢰_장진영!$A:$M,11,0),"")</f>
        <v/>
      </c>
      <c r="R367" s="104" t="str">
        <f>IFERROR(VLOOKUP($A367,[5]실험의뢰_장진영!$A:$M,12,0),"")</f>
        <v/>
      </c>
      <c r="S367" s="104" t="str">
        <f>IFERROR(VLOOKUP($A367,[5]실험의뢰_장진영!$A:$M,13,0),"")</f>
        <v/>
      </c>
      <c r="T367" s="58"/>
    </row>
    <row r="368" spans="1:20" ht="30" customHeight="1">
      <c r="A368" s="99" t="str">
        <f>실험지시[[#This Row],[품목코드]] &amp; "_" &amp; TEXT(실험지시[[#This Row],[실험지시일자]], "yyyymmdd")</f>
        <v>SI1668_20260311</v>
      </c>
      <c r="B368" t="s">
        <v>1683</v>
      </c>
      <c r="C368" s="99" t="str">
        <f>IFERROR(VLOOKUP(실험지시[[#This Row],[제품명]],BOM_개발품목[[제품명]:[사양]],5,0),"")</f>
        <v>M251356_01</v>
      </c>
      <c r="D368" s="112" t="str">
        <f>IFERROR(VLOOKUP(실험지시[[#This Row],[제품명]],BOM_개발품목[[제품명]:[사양]],4,0),"")</f>
        <v>SI1668</v>
      </c>
      <c r="E368" s="1">
        <v>46092</v>
      </c>
      <c r="F368" t="s">
        <v>74</v>
      </c>
      <c r="G368" s="1" t="s">
        <v>157</v>
      </c>
      <c r="H368" t="s">
        <v>1827</v>
      </c>
      <c r="I368" s="3">
        <v>4</v>
      </c>
      <c r="J368" s="46">
        <v>12</v>
      </c>
      <c r="L368" s="129" t="str">
        <f>실험지시[[#This Row],[금형코드]]</f>
        <v>M251356_01</v>
      </c>
      <c r="M368" s="131" t="str">
        <f>IFERROR(VLOOKUP($A368,[5]실험의뢰_장진영!$A:$M,5,0),"")</f>
        <v/>
      </c>
      <c r="N368" s="104" t="str">
        <f>IFERROR(VLOOKUP($A368,[5]실험의뢰_장진영!$A:$M,4,0),"")</f>
        <v/>
      </c>
      <c r="O368" s="132" t="str">
        <f>IFERROR(VLOOKUP($A368,[5]실험의뢰_장진영!$A:$M,6,0),"")</f>
        <v/>
      </c>
      <c r="P368" s="99" t="str">
        <f>IFERROR(VLOOKUP(실험지시[[#This Row],[제품명]],BOM_개발품목[[제품명]:[사양]],7,0),"")</f>
        <v>PP (롯데케미칼 J-560S)</v>
      </c>
      <c r="Q368" s="104" t="str">
        <f>IFERROR(VLOOKUP($A368,[5]실험의뢰_장진영!$A:$M,11,0),"")</f>
        <v/>
      </c>
      <c r="R368" s="104" t="str">
        <f>IFERROR(VLOOKUP($A368,[5]실험의뢰_장진영!$A:$M,12,0),"")</f>
        <v/>
      </c>
      <c r="S368" s="104" t="str">
        <f>IFERROR(VLOOKUP($A368,[5]실험의뢰_장진영!$A:$M,13,0),"")</f>
        <v/>
      </c>
      <c r="T368" s="58"/>
    </row>
    <row r="369" spans="1:20" ht="30" customHeight="1">
      <c r="A369" s="99" t="str">
        <f>실험지시[[#This Row],[품목코드]] &amp; "_" &amp; TEXT(실험지시[[#This Row],[실험지시일자]], "yyyymmdd")</f>
        <v>SI1668_20260317</v>
      </c>
      <c r="B369" t="s">
        <v>1683</v>
      </c>
      <c r="C369" s="99" t="str">
        <f>IFERROR(VLOOKUP(실험지시[[#This Row],[제품명]],BOM_개발품목[[제품명]:[사양]],5,0),"")</f>
        <v>M251356_01</v>
      </c>
      <c r="D369" s="112" t="str">
        <f>IFERROR(VLOOKUP(실험지시[[#This Row],[제품명]],BOM_개발품목[[제품명]:[사양]],4,0),"")</f>
        <v>SI1668</v>
      </c>
      <c r="E369" s="1">
        <v>46098</v>
      </c>
      <c r="F369" t="s">
        <v>74</v>
      </c>
      <c r="G369" s="1" t="s">
        <v>157</v>
      </c>
      <c r="H369" t="s">
        <v>1828</v>
      </c>
      <c r="I369" s="3">
        <v>4</v>
      </c>
      <c r="J369" s="46">
        <v>4</v>
      </c>
      <c r="L369" s="129" t="str">
        <f>실험지시[[#This Row],[금형코드]]</f>
        <v>M251356_01</v>
      </c>
      <c r="M369" s="131" t="str">
        <f>IFERROR(VLOOKUP($A369,[5]실험의뢰_장진영!$A:$M,5,0),"")</f>
        <v/>
      </c>
      <c r="N369" s="104" t="str">
        <f>IFERROR(VLOOKUP($A369,[5]실험의뢰_장진영!$A:$M,4,0),"")</f>
        <v/>
      </c>
      <c r="O369" s="132" t="str">
        <f>IFERROR(VLOOKUP($A369,[5]실험의뢰_장진영!$A:$M,6,0),"")</f>
        <v/>
      </c>
      <c r="P369" s="99" t="str">
        <f>IFERROR(VLOOKUP(실험지시[[#This Row],[제품명]],BOM_개발품목[[제품명]:[사양]],7,0),"")</f>
        <v>PP (롯데케미칼 J-560S)</v>
      </c>
      <c r="Q369" s="104" t="str">
        <f>IFERROR(VLOOKUP($A369,[5]실험의뢰_장진영!$A:$M,11,0),"")</f>
        <v/>
      </c>
      <c r="R369" s="104" t="str">
        <f>IFERROR(VLOOKUP($A369,[5]실험의뢰_장진영!$A:$M,12,0),"")</f>
        <v/>
      </c>
      <c r="S369" s="104" t="str">
        <f>IFERROR(VLOOKUP($A369,[5]실험의뢰_장진영!$A:$M,13,0),"")</f>
        <v/>
      </c>
      <c r="T369" s="58"/>
    </row>
    <row r="370" spans="1:20" ht="30" customHeight="1">
      <c r="A370" s="99" t="str">
        <f>실험지시[[#This Row],[품목코드]] &amp; "_" &amp; TEXT(실험지시[[#This Row],[실험지시일자]], "yyyymmdd")</f>
        <v>SI1660_20260317</v>
      </c>
      <c r="B370" t="s">
        <v>1776</v>
      </c>
      <c r="C370" s="99" t="str">
        <f>IFERROR(VLOOKUP(실험지시[[#This Row],[제품명]],BOM_개발품목[[제품명]:[사양]],5,0),"")</f>
        <v>M110374_01</v>
      </c>
      <c r="D370" s="112" t="str">
        <f>IFERROR(VLOOKUP(실험지시[[#This Row],[제품명]],BOM_개발품목[[제품명]:[사양]],4,0),"")</f>
        <v>SI1660</v>
      </c>
      <c r="E370" s="1">
        <v>46098</v>
      </c>
      <c r="F370" t="s">
        <v>161</v>
      </c>
      <c r="G370" s="1" t="s">
        <v>564</v>
      </c>
      <c r="H370" t="s">
        <v>1645</v>
      </c>
      <c r="I370" s="3">
        <v>4</v>
      </c>
      <c r="J370" s="46">
        <v>23</v>
      </c>
      <c r="L370" s="129" t="str">
        <f>실험지시[[#This Row],[금형코드]]</f>
        <v>M110374_01</v>
      </c>
      <c r="M370" s="131" t="str">
        <f>IFERROR(VLOOKUP($A370,[5]실험의뢰_장진영!$A:$M,5,0),"")</f>
        <v/>
      </c>
      <c r="N370" s="104" t="str">
        <f>IFERROR(VLOOKUP($A370,[5]실험의뢰_장진영!$A:$M,4,0),"")</f>
        <v/>
      </c>
      <c r="O370" s="132" t="str">
        <f>IFERROR(VLOOKUP($A370,[5]실험의뢰_장진영!$A:$M,6,0),"")</f>
        <v/>
      </c>
      <c r="P370" s="99" t="str">
        <f>IFERROR(VLOOKUP(실험지시[[#This Row],[제품명]],BOM_개발품목[[제품명]:[사양]],7,0),"")</f>
        <v>PP (롯데케미칼 J-560S)</v>
      </c>
      <c r="Q370" s="104" t="str">
        <f>IFERROR(VLOOKUP($A370,[5]실험의뢰_장진영!$A:$M,11,0),"")</f>
        <v/>
      </c>
      <c r="R370" s="104" t="str">
        <f>IFERROR(VLOOKUP($A370,[5]실험의뢰_장진영!$A:$M,12,0),"")</f>
        <v/>
      </c>
      <c r="S370" s="104" t="str">
        <f>IFERROR(VLOOKUP($A370,[5]실험의뢰_장진영!$A:$M,13,0),"")</f>
        <v/>
      </c>
      <c r="T370" s="58"/>
    </row>
    <row r="371" spans="1:20" ht="30" customHeight="1">
      <c r="A371" s="99" t="str">
        <f>실험지시[[#This Row],[품목코드]] &amp; "_" &amp; TEXT(실험지시[[#This Row],[실험지시일자]], "yyyymmdd")</f>
        <v>SI1674_20260318</v>
      </c>
      <c r="B371" t="s">
        <v>1744</v>
      </c>
      <c r="C371" s="99" t="str">
        <f>IFERROR(VLOOKUP(실험지시[[#This Row],[제품명]],BOM_개발품목[[제품명]:[사양]],5,0),"")</f>
        <v>S251019_01</v>
      </c>
      <c r="D371" s="112" t="str">
        <f>IFERROR(VLOOKUP(실험지시[[#This Row],[제품명]],BOM_개발품목[[제품명]:[사양]],4,0),"")</f>
        <v>SI1674</v>
      </c>
      <c r="E371" s="1">
        <v>46099</v>
      </c>
      <c r="F371" t="s">
        <v>74</v>
      </c>
      <c r="G371" s="1" t="s">
        <v>152</v>
      </c>
      <c r="H371" t="s">
        <v>1645</v>
      </c>
      <c r="I371" s="3">
        <v>2</v>
      </c>
      <c r="J371" s="46">
        <v>23</v>
      </c>
      <c r="K371" s="74">
        <v>260224</v>
      </c>
      <c r="L371" s="129" t="str">
        <f>실험지시[[#This Row],[금형코드]]</f>
        <v>S251019_01</v>
      </c>
      <c r="M371" s="131" t="str">
        <f>IFERROR(VLOOKUP($A371,[5]실험의뢰_장진영!$A:$M,5,0),"")</f>
        <v/>
      </c>
      <c r="N371" s="104" t="str">
        <f>IFERROR(VLOOKUP($A371,[5]실험의뢰_장진영!$A:$M,4,0),"")</f>
        <v/>
      </c>
      <c r="O371" s="132" t="str">
        <f>IFERROR(VLOOKUP($A371,[5]실험의뢰_장진영!$A:$M,6,0),"")</f>
        <v/>
      </c>
      <c r="P371" s="99" t="str">
        <f>IFERROR(VLOOKUP(실험지시[[#This Row],[제품명]],BOM_개발품목[[제품명]:[사양]],7,0),"")</f>
        <v>PP (롯데케미칼 J-560S)</v>
      </c>
      <c r="Q371" s="104" t="str">
        <f>IFERROR(VLOOKUP($A371,[5]실험의뢰_장진영!$A:$M,11,0),"")</f>
        <v/>
      </c>
      <c r="R371" s="104" t="str">
        <f>IFERROR(VLOOKUP($A371,[5]실험의뢰_장진영!$A:$M,12,0),"")</f>
        <v/>
      </c>
      <c r="S371" s="104" t="str">
        <f>IFERROR(VLOOKUP($A371,[5]실험의뢰_장진영!$A:$M,13,0),"")</f>
        <v/>
      </c>
      <c r="T371" s="58"/>
    </row>
    <row r="372" spans="1:20" ht="30" customHeight="1">
      <c r="A372" s="99" t="str">
        <f>실험지시[[#This Row],[품목코드]] &amp; "_" &amp; TEXT(실험지시[[#This Row],[실험지시일자]], "yyyymmdd")</f>
        <v>SI1670_20260319</v>
      </c>
      <c r="B372" t="s">
        <v>1694</v>
      </c>
      <c r="C372" s="99" t="str">
        <f>IFERROR(VLOOKUP(실험지시[[#This Row],[제품명]],BOM_개발품목[[제품명]:[사양]],5,0),"")</f>
        <v>M251358_01</v>
      </c>
      <c r="D372" s="112" t="str">
        <f>IFERROR(VLOOKUP(실험지시[[#This Row],[제품명]],BOM_개발품목[[제품명]:[사양]],4,0),"")</f>
        <v>SI1670</v>
      </c>
      <c r="E372" s="1">
        <v>46100</v>
      </c>
      <c r="F372" t="s">
        <v>161</v>
      </c>
      <c r="G372" s="1" t="s">
        <v>1829</v>
      </c>
      <c r="H372" t="s">
        <v>1830</v>
      </c>
      <c r="I372" s="3">
        <v>3</v>
      </c>
      <c r="J372" s="46">
        <v>9</v>
      </c>
      <c r="L372" s="129" t="str">
        <f>실험지시[[#This Row],[금형코드]]</f>
        <v>M251358_01</v>
      </c>
      <c r="M372" s="131" t="str">
        <f>IFERROR(VLOOKUP($A372,[5]실험의뢰_장진영!$A:$M,5,0),"")</f>
        <v/>
      </c>
      <c r="N372" s="104" t="str">
        <f>IFERROR(VLOOKUP($A372,[5]실험의뢰_장진영!$A:$M,4,0),"")</f>
        <v/>
      </c>
      <c r="O372" s="132" t="str">
        <f>IFERROR(VLOOKUP($A372,[5]실험의뢰_장진영!$A:$M,6,0),"")</f>
        <v/>
      </c>
      <c r="P372" s="99" t="str">
        <f>IFERROR(VLOOKUP(실험지시[[#This Row],[제품명]],BOM_개발품목[[제품명]:[사양]],7,0),"")</f>
        <v>PP (롯데케미칼 J-560S)</v>
      </c>
      <c r="Q372" s="104" t="str">
        <f>IFERROR(VLOOKUP($A372,[5]실험의뢰_장진영!$A:$M,11,0),"")</f>
        <v/>
      </c>
      <c r="R372" s="104" t="str">
        <f>IFERROR(VLOOKUP($A372,[5]실험의뢰_장진영!$A:$M,12,0),"")</f>
        <v/>
      </c>
      <c r="S372" s="104" t="str">
        <f>IFERROR(VLOOKUP($A372,[5]실험의뢰_장진영!$A:$M,13,0),"")</f>
        <v/>
      </c>
      <c r="T372" s="58"/>
    </row>
    <row r="373" spans="1:20" ht="30" customHeight="1">
      <c r="A373" s="99" t="str">
        <f>실험지시[[#This Row],[품목코드]] &amp; "_" &amp; TEXT(실험지시[[#This Row],[실험지시일자]], "yyyymmdd")</f>
        <v>SI1672_20260320</v>
      </c>
      <c r="B373" t="s">
        <v>1739</v>
      </c>
      <c r="C373" s="99" t="str">
        <f>IFERROR(VLOOKUP(실험지시[[#This Row],[제품명]],BOM_개발품목[[제품명]:[사양]],5,0),"")</f>
        <v>S251017_01</v>
      </c>
      <c r="D373" s="112" t="str">
        <f>IFERROR(VLOOKUP(실험지시[[#This Row],[제품명]],BOM_개발품목[[제품명]:[사양]],4,0),"")</f>
        <v>SI1672</v>
      </c>
      <c r="E373" s="1">
        <v>46101</v>
      </c>
      <c r="F373" t="s">
        <v>74</v>
      </c>
      <c r="G373" s="1" t="s">
        <v>499</v>
      </c>
      <c r="H373">
        <v>713</v>
      </c>
      <c r="I373" s="3">
        <v>4</v>
      </c>
      <c r="J373" s="46">
        <v>24</v>
      </c>
      <c r="L373" s="129" t="str">
        <f>실험지시[[#This Row],[금형코드]]</f>
        <v>S251017_01</v>
      </c>
      <c r="M373" s="131" t="str">
        <f>IFERROR(VLOOKUP($A373,[5]실험의뢰_장진영!$A:$M,5,0),"")</f>
        <v/>
      </c>
      <c r="N373" s="104" t="str">
        <f>IFERROR(VLOOKUP($A373,[5]실험의뢰_장진영!$A:$M,4,0),"")</f>
        <v/>
      </c>
      <c r="O373" s="132" t="str">
        <f>IFERROR(VLOOKUP($A373,[5]실험의뢰_장진영!$A:$M,6,0),"")</f>
        <v/>
      </c>
      <c r="P373" s="99" t="str">
        <f>IFERROR(VLOOKUP(실험지시[[#This Row],[제품명]],BOM_개발품목[[제품명]:[사양]],7,0),"")</f>
        <v>ABS (롯데첨단소재 MP-0670)</v>
      </c>
      <c r="Q373" s="104" t="str">
        <f>IFERROR(VLOOKUP($A373,[5]실험의뢰_장진영!$A:$M,11,0),"")</f>
        <v/>
      </c>
      <c r="R373" s="104" t="str">
        <f>IFERROR(VLOOKUP($A373,[5]실험의뢰_장진영!$A:$M,12,0),"")</f>
        <v/>
      </c>
      <c r="S373" s="104" t="str">
        <f>IFERROR(VLOOKUP($A373,[5]실험의뢰_장진영!$A:$M,13,0),"")</f>
        <v/>
      </c>
      <c r="T373" s="58"/>
    </row>
    <row r="374" spans="1:20" ht="30" customHeight="1">
      <c r="A374" s="99" t="str">
        <f>실험지시[[#This Row],[품목코드]] &amp; "_" &amp; TEXT(실험지시[[#This Row],[실험지시일자]], "yyyymmdd")</f>
        <v>SI1673_20260320</v>
      </c>
      <c r="B374" t="s">
        <v>1742</v>
      </c>
      <c r="C374" s="99" t="str">
        <f>IFERROR(VLOOKUP(실험지시[[#This Row],[제품명]],BOM_개발품목[[제품명]:[사양]],5,0),"")</f>
        <v>S251017_01</v>
      </c>
      <c r="D374" s="112" t="str">
        <f>IFERROR(VLOOKUP(실험지시[[#This Row],[제품명]],BOM_개발품목[[제품명]:[사양]],4,0),"")</f>
        <v>SI1673</v>
      </c>
      <c r="E374" s="1">
        <v>46101</v>
      </c>
      <c r="F374" t="s">
        <v>74</v>
      </c>
      <c r="G374" s="1" t="s">
        <v>499</v>
      </c>
      <c r="H374">
        <v>713</v>
      </c>
      <c r="I374" s="3">
        <v>4</v>
      </c>
      <c r="J374" s="46">
        <v>24</v>
      </c>
      <c r="L374" s="129" t="str">
        <f>실험지시[[#This Row],[금형코드]]</f>
        <v>S251017_01</v>
      </c>
      <c r="M374" s="131" t="str">
        <f>IFERROR(VLOOKUP($A374,[5]실험의뢰_장진영!$A:$M,5,0),"")</f>
        <v/>
      </c>
      <c r="N374" s="104" t="str">
        <f>IFERROR(VLOOKUP($A374,[5]실험의뢰_장진영!$A:$M,4,0),"")</f>
        <v/>
      </c>
      <c r="O374" s="132" t="str">
        <f>IFERROR(VLOOKUP($A374,[5]실험의뢰_장진영!$A:$M,6,0),"")</f>
        <v/>
      </c>
      <c r="P374" s="99" t="str">
        <f>IFERROR(VLOOKUP(실험지시[[#This Row],[제품명]],BOM_개발품목[[제품명]:[사양]],7,0),"")</f>
        <v>ABS (롯데첨단소재 MP-0670)</v>
      </c>
      <c r="Q374" s="104" t="str">
        <f>IFERROR(VLOOKUP($A374,[5]실험의뢰_장진영!$A:$M,11,0),"")</f>
        <v/>
      </c>
      <c r="R374" s="104" t="str">
        <f>IFERROR(VLOOKUP($A374,[5]실험의뢰_장진영!$A:$M,12,0),"")</f>
        <v/>
      </c>
      <c r="S374" s="104" t="str">
        <f>IFERROR(VLOOKUP($A374,[5]실험의뢰_장진영!$A:$M,13,0),"")</f>
        <v/>
      </c>
      <c r="T374" s="58"/>
    </row>
    <row r="375" spans="1:20" ht="30" customHeight="1">
      <c r="A375" s="99" t="str">
        <f>실험지시[[#This Row],[품목코드]] &amp; "_" &amp; TEXT(실험지시[[#This Row],[실험지시일자]], "yyyymmdd")</f>
        <v>SI1658_20260320</v>
      </c>
      <c r="B375" t="s">
        <v>1769</v>
      </c>
      <c r="C375" s="99" t="str">
        <f>IFERROR(VLOOKUP(실험지시[[#This Row],[제품명]],BOM_개발품목[[제품명]:[사양]],5,0),"")</f>
        <v>M201244_03, M201245_04, M110373_02, M110372_01</v>
      </c>
      <c r="D375" s="112" t="str">
        <f>IFERROR(VLOOKUP(실험지시[[#This Row],[제품명]],BOM_개발품목[[제품명]:[사양]],4,0),"")</f>
        <v>SI1658</v>
      </c>
      <c r="E375" s="1">
        <v>46101</v>
      </c>
      <c r="F375" t="s">
        <v>114</v>
      </c>
      <c r="G375" s="1" t="s">
        <v>1716</v>
      </c>
      <c r="H375" t="s">
        <v>1819</v>
      </c>
      <c r="I375" s="3">
        <v>1.5</v>
      </c>
      <c r="J375" s="46">
        <v>15</v>
      </c>
      <c r="L375" s="129" t="str">
        <f>실험지시[[#This Row],[금형코드]]</f>
        <v>M201244_03, M201245_04, M110373_02, M110372_01</v>
      </c>
      <c r="M375" s="131" t="str">
        <f>IFERROR(VLOOKUP($A375,[5]실험의뢰_장진영!$A:$M,5,0),"")</f>
        <v/>
      </c>
      <c r="N375" s="104" t="str">
        <f>IFERROR(VLOOKUP($A375,[5]실험의뢰_장진영!$A:$M,4,0),"")</f>
        <v/>
      </c>
      <c r="O375" s="132" t="str">
        <f>IFERROR(VLOOKUP($A375,[5]실험의뢰_장진영!$A:$M,6,0),"")</f>
        <v/>
      </c>
      <c r="P375" s="99" t="str">
        <f>IFERROR(VLOOKUP(실험지시[[#This Row],[제품명]],BOM_개발품목[[제품명]:[사양]],7,0),"")</f>
        <v>PCTA (이스트만 AN004)</v>
      </c>
      <c r="Q375" s="104" t="str">
        <f>IFERROR(VLOOKUP($A375,[5]실험의뢰_장진영!$A:$M,11,0),"")</f>
        <v/>
      </c>
      <c r="R375" s="104" t="str">
        <f>IFERROR(VLOOKUP($A375,[5]실험의뢰_장진영!$A:$M,12,0),"")</f>
        <v/>
      </c>
      <c r="S375" s="104" t="str">
        <f>IFERROR(VLOOKUP($A375,[5]실험의뢰_장진영!$A:$M,13,0),"")</f>
        <v/>
      </c>
      <c r="T375" s="58"/>
    </row>
    <row r="376" spans="1:20" ht="30" customHeight="1">
      <c r="A376" s="99" t="str">
        <f>실험지시[[#This Row],[품목코드]] &amp; "_" &amp; TEXT(실험지시[[#This Row],[실험지시일자]], "yyyymmdd")</f>
        <v>SI1679_20260325</v>
      </c>
      <c r="B376" t="s">
        <v>1815</v>
      </c>
      <c r="C376" s="99" t="str">
        <f>IFERROR(VLOOKUP(실험지시[[#This Row],[제품명]],BOM_개발품목[[제품명]:[사양]],5,0),"")</f>
        <v>M261009_01</v>
      </c>
      <c r="D376" s="112" t="str">
        <f>IFERROR(VLOOKUP(실험지시[[#This Row],[제품명]],BOM_개발품목[[제품명]:[사양]],4,0),"")</f>
        <v>SI1679</v>
      </c>
      <c r="E376" s="1">
        <v>46106</v>
      </c>
      <c r="F376" t="s">
        <v>74</v>
      </c>
      <c r="G376" s="1" t="s">
        <v>499</v>
      </c>
      <c r="H376" t="s">
        <v>500</v>
      </c>
      <c r="I376" s="3">
        <v>5</v>
      </c>
      <c r="J376" s="46">
        <v>23</v>
      </c>
      <c r="L376" s="129" t="str">
        <f>실험지시[[#This Row],[금형코드]]</f>
        <v>M261009_01</v>
      </c>
      <c r="M376" s="131" t="str">
        <f>IFERROR(VLOOKUP($A376,[5]실험의뢰_장진영!$A:$M,5,0),"")</f>
        <v/>
      </c>
      <c r="N376" s="104" t="str">
        <f>IFERROR(VLOOKUP($A376,[5]실험의뢰_장진영!$A:$M,4,0),"")</f>
        <v/>
      </c>
      <c r="O376" s="132" t="str">
        <f>IFERROR(VLOOKUP($A376,[5]실험의뢰_장진영!$A:$M,6,0),"")</f>
        <v/>
      </c>
      <c r="P376" s="99" t="str">
        <f>IFERROR(VLOOKUP(실험지시[[#This Row],[제품명]],BOM_개발품목[[제품명]:[사양]],7,0),"")</f>
        <v>ABS (롯데첨단소재 MP-0670)</v>
      </c>
      <c r="Q376" s="104" t="str">
        <f>IFERROR(VLOOKUP($A376,[5]실험의뢰_장진영!$A:$M,11,0),"")</f>
        <v/>
      </c>
      <c r="R376" s="104" t="str">
        <f>IFERROR(VLOOKUP($A376,[5]실험의뢰_장진영!$A:$M,12,0),"")</f>
        <v/>
      </c>
      <c r="S376" s="104" t="str">
        <f>IFERROR(VLOOKUP($A376,[5]실험의뢰_장진영!$A:$M,13,0),"")</f>
        <v/>
      </c>
      <c r="T376" s="58"/>
    </row>
    <row r="377" spans="1:20" ht="30" customHeight="1">
      <c r="A377" s="99" t="str">
        <f>실험지시[[#This Row],[품목코드]] &amp; "_" &amp; TEXT(실험지시[[#This Row],[실험지시일자]], "yyyymmdd")</f>
        <v>SI1676_20260330</v>
      </c>
      <c r="B377" t="s">
        <v>1746</v>
      </c>
      <c r="C377" s="99" t="str">
        <f>IFERROR(VLOOKUP(실험지시[[#This Row],[제품명]],BOM_개발품목[[제품명]:[사양]],5,0),"")</f>
        <v>S251018_01</v>
      </c>
      <c r="D377" s="112" t="str">
        <f>IFERROR(VLOOKUP(실험지시[[#This Row],[제품명]],BOM_개발품목[[제품명]:[사양]],4,0),"")</f>
        <v>SI1676</v>
      </c>
      <c r="E377" s="1">
        <v>46111</v>
      </c>
      <c r="F377" t="s">
        <v>74</v>
      </c>
      <c r="G377" s="1" t="s">
        <v>152</v>
      </c>
      <c r="H377" t="s">
        <v>1645</v>
      </c>
      <c r="I377" s="3">
        <v>2</v>
      </c>
      <c r="J377" s="46">
        <v>24</v>
      </c>
      <c r="L377" s="129" t="str">
        <f>실험지시[[#This Row],[금형코드]]</f>
        <v>S251018_01</v>
      </c>
      <c r="M377" s="131" t="str">
        <f>IFERROR(VLOOKUP($A377,[5]실험의뢰_장진영!$A:$M,5,0),"")</f>
        <v/>
      </c>
      <c r="N377" s="104" t="str">
        <f>IFERROR(VLOOKUP($A377,[5]실험의뢰_장진영!$A:$M,4,0),"")</f>
        <v/>
      </c>
      <c r="O377" s="132" t="str">
        <f>IFERROR(VLOOKUP($A377,[5]실험의뢰_장진영!$A:$M,6,0),"")</f>
        <v/>
      </c>
      <c r="P377" s="99" t="str">
        <f>IFERROR(VLOOKUP(실험지시[[#This Row],[제품명]],BOM_개발품목[[제품명]:[사양]],7,0),"")</f>
        <v>PP+PE</v>
      </c>
      <c r="Q377" s="104" t="str">
        <f>IFERROR(VLOOKUP($A377,[5]실험의뢰_장진영!$A:$M,11,0),"")</f>
        <v/>
      </c>
      <c r="R377" s="104" t="str">
        <f>IFERROR(VLOOKUP($A377,[5]실험의뢰_장진영!$A:$M,12,0),"")</f>
        <v/>
      </c>
      <c r="S377" s="104" t="str">
        <f>IFERROR(VLOOKUP($A377,[5]실험의뢰_장진영!$A:$M,13,0),"")</f>
        <v/>
      </c>
      <c r="T377" s="58"/>
    </row>
    <row r="378" spans="1:20" ht="30" customHeight="1">
      <c r="A378" s="99" t="str">
        <f>실험지시[[#This Row],[품목코드]] &amp; "_" &amp; TEXT(실험지시[[#This Row],[실험지시일자]], "yyyymmdd")</f>
        <v>SI1675_20260326</v>
      </c>
      <c r="B378" t="s">
        <v>1749</v>
      </c>
      <c r="C378" s="99" t="str">
        <f>IFERROR(VLOOKUP(실험지시[[#This Row],[제품명]],BOM_개발품목[[제품명]:[사양]],5,0),"")</f>
        <v>S251018_01</v>
      </c>
      <c r="D378" s="112" t="str">
        <f>IFERROR(VLOOKUP(실험지시[[#This Row],[제품명]],BOM_개발품목[[제품명]:[사양]],4,0),"")</f>
        <v>SI1675</v>
      </c>
      <c r="E378" s="1">
        <v>46107</v>
      </c>
      <c r="F378" t="s">
        <v>74</v>
      </c>
      <c r="G378" s="1" t="s">
        <v>1764</v>
      </c>
      <c r="H378" t="s">
        <v>1645</v>
      </c>
      <c r="I378" s="3">
        <v>2</v>
      </c>
      <c r="J378" s="46">
        <v>24</v>
      </c>
      <c r="L378" s="129" t="str">
        <f>실험지시[[#This Row],[금형코드]]</f>
        <v>S251018_01</v>
      </c>
      <c r="M378" s="131" t="str">
        <f>IFERROR(VLOOKUP($A378,[5]실험의뢰_장진영!$A:$M,5,0),"")</f>
        <v/>
      </c>
      <c r="N378" s="104" t="str">
        <f>IFERROR(VLOOKUP($A378,[5]실험의뢰_장진영!$A:$M,4,0),"")</f>
        <v/>
      </c>
      <c r="O378" s="132" t="str">
        <f>IFERROR(VLOOKUP($A378,[5]실험의뢰_장진영!$A:$M,6,0),"")</f>
        <v/>
      </c>
      <c r="P378" s="99" t="str">
        <f>IFERROR(VLOOKUP(실험지시[[#This Row],[제품명]],BOM_개발품목[[제품명]:[사양]],7,0),"")</f>
        <v>PP+PE</v>
      </c>
      <c r="Q378" s="104" t="str">
        <f>IFERROR(VLOOKUP($A378,[5]실험의뢰_장진영!$A:$M,11,0),"")</f>
        <v/>
      </c>
      <c r="R378" s="104" t="str">
        <f>IFERROR(VLOOKUP($A378,[5]실험의뢰_장진영!$A:$M,12,0),"")</f>
        <v/>
      </c>
      <c r="S378" s="104" t="str">
        <f>IFERROR(VLOOKUP($A378,[5]실험의뢰_장진영!$A:$M,13,0),"")</f>
        <v/>
      </c>
      <c r="T378" s="58"/>
    </row>
    <row r="379" spans="1:20" ht="30" customHeight="1">
      <c r="A379" s="99" t="str">
        <f>실험지시[[#This Row],[품목코드]] &amp; "_" &amp; TEXT(실험지시[[#This Row],[실험지시일자]], "yyyymmdd")</f>
        <v>SI1617_20260326</v>
      </c>
      <c r="B379" t="s">
        <v>937</v>
      </c>
      <c r="C379" s="99" t="str">
        <f>IFERROR(VLOOKUP(실험지시[[#This Row],[제품명]],BOM_개발품목[[제품명]:[사양]],5,0),"")</f>
        <v>M251188_01</v>
      </c>
      <c r="D379" s="112" t="str">
        <f>IFERROR(VLOOKUP(실험지시[[#This Row],[제품명]],BOM_개발품목[[제품명]:[사양]],4,0),"")</f>
        <v>SI1617</v>
      </c>
      <c r="E379" s="1">
        <v>46107</v>
      </c>
      <c r="F379" t="s">
        <v>114</v>
      </c>
      <c r="G379" s="1" t="s">
        <v>499</v>
      </c>
      <c r="H379" t="s">
        <v>1670</v>
      </c>
      <c r="I379" s="3">
        <v>6</v>
      </c>
      <c r="J379" s="46">
        <v>26</v>
      </c>
      <c r="K379" s="74">
        <v>250725</v>
      </c>
      <c r="L379" s="129" t="str">
        <f>실험지시[[#This Row],[금형코드]]</f>
        <v>M251188_01</v>
      </c>
      <c r="M379" s="131" t="str">
        <f>IFERROR(VLOOKUP($A379,[5]실험의뢰_장진영!$A:$M,5,0),"")</f>
        <v/>
      </c>
      <c r="N379" s="104" t="str">
        <f>IFERROR(VLOOKUP($A379,[5]실험의뢰_장진영!$A:$M,4,0),"")</f>
        <v/>
      </c>
      <c r="O379" s="132" t="str">
        <f>IFERROR(VLOOKUP($A379,[5]실험의뢰_장진영!$A:$M,6,0),"")</f>
        <v/>
      </c>
      <c r="P379" s="99" t="str">
        <f>IFERROR(VLOOKUP(실험지시[[#This Row],[제품명]],BOM_개발품목[[제품명]:[사양]],7,0),"")</f>
        <v>ABS (롯데첨단소재 MP-0670)</v>
      </c>
      <c r="Q379" s="104" t="str">
        <f>IFERROR(VLOOKUP($A379,[5]실험의뢰_장진영!$A:$M,11,0),"")</f>
        <v/>
      </c>
      <c r="R379" s="104" t="str">
        <f>IFERROR(VLOOKUP($A379,[5]실험의뢰_장진영!$A:$M,12,0),"")</f>
        <v/>
      </c>
      <c r="S379" s="104" t="str">
        <f>IFERROR(VLOOKUP($A379,[5]실험의뢰_장진영!$A:$M,13,0),"")</f>
        <v/>
      </c>
      <c r="T379" s="58"/>
    </row>
    <row r="380" spans="1:20" ht="30" customHeight="1">
      <c r="A380" s="99" t="str">
        <f>실험지시[[#This Row],[품목코드]] &amp; "_" &amp; TEXT(실험지시[[#This Row],[실험지시일자]], "yyyymmdd")</f>
        <v>SI1618_19000100</v>
      </c>
      <c r="B380" t="s">
        <v>938</v>
      </c>
      <c r="C380" s="99" t="str">
        <f>IFERROR(VLOOKUP(실험지시[[#This Row],[제품명]],BOM_개발품목[[제품명]:[사양]],5,0),"")</f>
        <v>M251187_01</v>
      </c>
      <c r="D380" s="112" t="str">
        <f>IFERROR(VLOOKUP(실험지시[[#This Row],[제품명]],BOM_개발품목[[제품명]:[사양]],4,0),"")</f>
        <v>SI1618</v>
      </c>
      <c r="E380" s="1"/>
      <c r="F380" t="s">
        <v>114</v>
      </c>
      <c r="G380" s="1" t="s">
        <v>157</v>
      </c>
      <c r="H380" t="s">
        <v>501</v>
      </c>
      <c r="I380" s="3">
        <v>5</v>
      </c>
      <c r="L380" s="129" t="str">
        <f>실험지시[[#This Row],[금형코드]]</f>
        <v>M251187_01</v>
      </c>
      <c r="M380" s="131" t="str">
        <f>IFERROR(VLOOKUP($A380,[5]실험의뢰_장진영!$A:$M,5,0),"")</f>
        <v/>
      </c>
      <c r="N380" s="104" t="str">
        <f>IFERROR(VLOOKUP($A380,[5]실험의뢰_장진영!$A:$M,4,0),"")</f>
        <v/>
      </c>
      <c r="O380" s="132" t="str">
        <f>IFERROR(VLOOKUP($A380,[5]실험의뢰_장진영!$A:$M,6,0),"")</f>
        <v/>
      </c>
      <c r="P380" s="99" t="str">
        <f>IFERROR(VLOOKUP(실험지시[[#This Row],[제품명]],BOM_개발품목[[제품명]:[사양]],7,0),"")</f>
        <v>PP (롯데케미칼 J-560S)</v>
      </c>
      <c r="Q380" s="104" t="str">
        <f>IFERROR(VLOOKUP($A380,[5]실험의뢰_장진영!$A:$M,11,0),"")</f>
        <v/>
      </c>
      <c r="R380" s="104" t="str">
        <f>IFERROR(VLOOKUP($A380,[5]실험의뢰_장진영!$A:$M,12,0),"")</f>
        <v/>
      </c>
      <c r="S380" s="104" t="str">
        <f>IFERROR(VLOOKUP($A380,[5]실험의뢰_장진영!$A:$M,13,0),"")</f>
        <v/>
      </c>
      <c r="T380" s="58"/>
    </row>
    <row r="381" spans="1:20" ht="30" customHeight="1">
      <c r="A381" s="99" t="str">
        <f>실험지시[[#This Row],[품목코드]] &amp; "_" &amp; TEXT(실험지시[[#This Row],[실험지시일자]], "yyyymmdd")</f>
        <v>SI1619_20260608</v>
      </c>
      <c r="B381" t="s">
        <v>939</v>
      </c>
      <c r="C381" s="99" t="str">
        <f>IFERROR(VLOOKUP(실험지시[[#This Row],[제품명]],BOM_개발품목[[제품명]:[사양]],5,0),"")</f>
        <v>M251189_01</v>
      </c>
      <c r="D381" s="112" t="str">
        <f>IFERROR(VLOOKUP(실험지시[[#This Row],[제품명]],BOM_개발품목[[제품명]:[사양]],4,0),"")</f>
        <v>SI1619</v>
      </c>
      <c r="E381" s="1">
        <v>46181</v>
      </c>
      <c r="F381" t="s">
        <v>114</v>
      </c>
      <c r="G381" s="1" t="s">
        <v>487</v>
      </c>
      <c r="H381" t="s">
        <v>488</v>
      </c>
      <c r="I381" s="3">
        <v>5</v>
      </c>
      <c r="J381" s="46">
        <v>14</v>
      </c>
      <c r="K381" s="74">
        <v>250725</v>
      </c>
      <c r="L381" s="129" t="str">
        <f>실험지시[[#This Row],[금형코드]]</f>
        <v>M251189_01</v>
      </c>
      <c r="M381" s="131" t="str">
        <f>IFERROR(VLOOKUP($A381,[5]실험의뢰_장진영!$A:$M,5,0),"")</f>
        <v/>
      </c>
      <c r="N381" s="104" t="str">
        <f>IFERROR(VLOOKUP($A381,[5]실험의뢰_장진영!$A:$M,4,0),"")</f>
        <v/>
      </c>
      <c r="O381" s="132" t="str">
        <f>IFERROR(VLOOKUP($A381,[5]실험의뢰_장진영!$A:$M,6,0),"")</f>
        <v/>
      </c>
      <c r="P381" s="99" t="str">
        <f>IFERROR(VLOOKUP(실험지시[[#This Row],[제품명]],BOM_개발품목[[제품명]:[사양]],7,0),"")</f>
        <v>PETG (SK케미칼 PN200)</v>
      </c>
      <c r="Q381" s="104" t="str">
        <f>IFERROR(VLOOKUP($A381,[5]실험의뢰_장진영!$A:$M,11,0),"")</f>
        <v/>
      </c>
      <c r="R381" s="104" t="str">
        <f>IFERROR(VLOOKUP($A381,[5]실험의뢰_장진영!$A:$M,12,0),"")</f>
        <v/>
      </c>
      <c r="S381" s="104" t="str">
        <f>IFERROR(VLOOKUP($A381,[5]실험의뢰_장진영!$A:$M,13,0),"")</f>
        <v/>
      </c>
      <c r="T381" s="58"/>
    </row>
    <row r="382" spans="1:20" ht="30" customHeight="1">
      <c r="A382" s="99" t="str">
        <f>실험지시[[#This Row],[품목코드]] &amp; "_" &amp; TEXT(실험지시[[#This Row],[실험지시일자]], "yyyymmdd")</f>
        <v>SI1620_20260326</v>
      </c>
      <c r="B382" t="s">
        <v>940</v>
      </c>
      <c r="C382" s="99" t="str">
        <f>IFERROR(VLOOKUP(실험지시[[#This Row],[제품명]],BOM_개발품목[[제품명]:[사양]],5,0),"")</f>
        <v>M251190_01</v>
      </c>
      <c r="D382" s="112" t="str">
        <f>IFERROR(VLOOKUP(실험지시[[#This Row],[제품명]],BOM_개발품목[[제품명]:[사양]],4,0),"")</f>
        <v>SI1620</v>
      </c>
      <c r="E382" s="1">
        <v>46107</v>
      </c>
      <c r="F382" t="s">
        <v>114</v>
      </c>
      <c r="G382" s="1" t="s">
        <v>499</v>
      </c>
      <c r="H382" t="s">
        <v>1670</v>
      </c>
      <c r="I382" s="3">
        <v>6</v>
      </c>
      <c r="J382" s="46">
        <v>14</v>
      </c>
      <c r="K382" s="74">
        <v>250801</v>
      </c>
      <c r="L382" s="129" t="str">
        <f>실험지시[[#This Row],[금형코드]]</f>
        <v>M251190_01</v>
      </c>
      <c r="M382" s="131" t="str">
        <f>IFERROR(VLOOKUP($A382,[5]실험의뢰_장진영!$A:$M,5,0),"")</f>
        <v/>
      </c>
      <c r="N382" s="104" t="str">
        <f>IFERROR(VLOOKUP($A382,[5]실험의뢰_장진영!$A:$M,4,0),"")</f>
        <v/>
      </c>
      <c r="O382" s="132" t="str">
        <f>IFERROR(VLOOKUP($A382,[5]실험의뢰_장진영!$A:$M,6,0),"")</f>
        <v/>
      </c>
      <c r="P382" s="99" t="str">
        <f>IFERROR(VLOOKUP(실험지시[[#This Row],[제품명]],BOM_개발품목[[제품명]:[사양]],7,0),"")</f>
        <v>ABS (롯데첨단소재 MP-0670)</v>
      </c>
      <c r="Q382" s="104" t="str">
        <f>IFERROR(VLOOKUP($A382,[5]실험의뢰_장진영!$A:$M,11,0),"")</f>
        <v/>
      </c>
      <c r="R382" s="104" t="str">
        <f>IFERROR(VLOOKUP($A382,[5]실험의뢰_장진영!$A:$M,12,0),"")</f>
        <v/>
      </c>
      <c r="S382" s="104" t="str">
        <f>IFERROR(VLOOKUP($A382,[5]실험의뢰_장진영!$A:$M,13,0),"")</f>
        <v/>
      </c>
      <c r="T382" s="58"/>
    </row>
    <row r="383" spans="1:20" ht="30" customHeight="1">
      <c r="A383" s="99" t="str">
        <f>실험지시[[#This Row],[품목코드]] &amp; "_" &amp; TEXT(실험지시[[#This Row],[실험지시일자]], "yyyymmdd")</f>
        <v>SI1621_20260327</v>
      </c>
      <c r="B383" t="s">
        <v>941</v>
      </c>
      <c r="C383" s="99" t="str">
        <f>IFERROR(VLOOKUP(실험지시[[#This Row],[제품명]],BOM_개발품목[[제품명]:[사양]],5,0),"")</f>
        <v>M251191_01</v>
      </c>
      <c r="D383" s="112" t="str">
        <f>IFERROR(VLOOKUP(실험지시[[#This Row],[제품명]],BOM_개발품목[[제품명]:[사양]],4,0),"")</f>
        <v>SI1621</v>
      </c>
      <c r="E383" s="1">
        <v>46108</v>
      </c>
      <c r="F383" t="s">
        <v>114</v>
      </c>
      <c r="G383" s="1" t="s">
        <v>499</v>
      </c>
      <c r="H383" t="s">
        <v>1670</v>
      </c>
      <c r="I383" s="3">
        <v>6</v>
      </c>
      <c r="J383" s="46">
        <v>26</v>
      </c>
      <c r="K383" s="74">
        <v>250801</v>
      </c>
      <c r="L383" s="129" t="str">
        <f>실험지시[[#This Row],[금형코드]]</f>
        <v>M251191_01</v>
      </c>
      <c r="M383" s="131" t="str">
        <f>IFERROR(VLOOKUP($A383,[5]실험의뢰_장진영!$A:$M,5,0),"")</f>
        <v/>
      </c>
      <c r="N383" s="104" t="str">
        <f>IFERROR(VLOOKUP($A383,[5]실험의뢰_장진영!$A:$M,4,0),"")</f>
        <v/>
      </c>
      <c r="O383" s="132" t="str">
        <f>IFERROR(VLOOKUP($A383,[5]실험의뢰_장진영!$A:$M,6,0),"")</f>
        <v/>
      </c>
      <c r="P383" s="99" t="str">
        <f>IFERROR(VLOOKUP(실험지시[[#This Row],[제품명]],BOM_개발품목[[제품명]:[사양]],7,0),"")</f>
        <v>ABS (롯데첨단소재 MP-0670)</v>
      </c>
      <c r="Q383" s="104" t="str">
        <f>IFERROR(VLOOKUP($A383,[5]실험의뢰_장진영!$A:$M,11,0),"")</f>
        <v/>
      </c>
      <c r="R383" s="104" t="str">
        <f>IFERROR(VLOOKUP($A383,[5]실험의뢰_장진영!$A:$M,12,0),"")</f>
        <v/>
      </c>
      <c r="S383" s="104" t="str">
        <f>IFERROR(VLOOKUP($A383,[5]실험의뢰_장진영!$A:$M,13,0),"")</f>
        <v/>
      </c>
      <c r="T383" s="58"/>
    </row>
    <row r="384" spans="1:20" ht="30" customHeight="1">
      <c r="A384" s="99" t="str">
        <f>실험지시[[#This Row],[품목코드]] &amp; "_" &amp; TEXT(실험지시[[#This Row],[실험지시일자]], "yyyymmdd")</f>
        <v>SI1674_20260326</v>
      </c>
      <c r="B384" t="s">
        <v>1744</v>
      </c>
      <c r="C384" s="99" t="str">
        <f>IFERROR(VLOOKUP(실험지시[[#This Row],[제품명]],BOM_개발품목[[제품명]:[사양]],5,0),"")</f>
        <v>S251019_01</v>
      </c>
      <c r="D384" s="112" t="str">
        <f>IFERROR(VLOOKUP(실험지시[[#This Row],[제품명]],BOM_개발품목[[제품명]:[사양]],4,0),"")</f>
        <v>SI1674</v>
      </c>
      <c r="E384" s="1">
        <v>46107</v>
      </c>
      <c r="F384" t="s">
        <v>74</v>
      </c>
      <c r="G384" s="1" t="s">
        <v>152</v>
      </c>
      <c r="H384" t="s">
        <v>1645</v>
      </c>
      <c r="I384" s="3">
        <v>2</v>
      </c>
      <c r="J384" s="46">
        <v>24</v>
      </c>
      <c r="K384" s="74">
        <v>260224</v>
      </c>
      <c r="L384" s="129" t="str">
        <f>실험지시[[#This Row],[금형코드]]</f>
        <v>S251019_01</v>
      </c>
      <c r="M384" s="131" t="str">
        <f>IFERROR(VLOOKUP($A384,[5]실험의뢰_장진영!$A:$M,5,0),"")</f>
        <v/>
      </c>
      <c r="N384" s="104" t="str">
        <f>IFERROR(VLOOKUP($A384,[5]실험의뢰_장진영!$A:$M,4,0),"")</f>
        <v/>
      </c>
      <c r="O384" s="132" t="str">
        <f>IFERROR(VLOOKUP($A384,[5]실험의뢰_장진영!$A:$M,6,0),"")</f>
        <v/>
      </c>
      <c r="P384" s="99" t="str">
        <f>IFERROR(VLOOKUP(실험지시[[#This Row],[제품명]],BOM_개발품목[[제품명]:[사양]],7,0),"")</f>
        <v>PP (롯데케미칼 J-560S)</v>
      </c>
      <c r="Q384" s="104" t="str">
        <f>IFERROR(VLOOKUP($A384,[5]실험의뢰_장진영!$A:$M,11,0),"")</f>
        <v/>
      </c>
      <c r="R384" s="104" t="str">
        <f>IFERROR(VLOOKUP($A384,[5]실험의뢰_장진영!$A:$M,12,0),"")</f>
        <v/>
      </c>
      <c r="S384" s="104" t="str">
        <f>IFERROR(VLOOKUP($A384,[5]실험의뢰_장진영!$A:$M,13,0),"")</f>
        <v/>
      </c>
      <c r="T384" s="58"/>
    </row>
    <row r="385" spans="1:20" ht="30" customHeight="1">
      <c r="A385" s="99" t="str">
        <f>실험지시[[#This Row],[품목코드]] &amp; "_" &amp; TEXT(실험지시[[#This Row],[실험지시일자]], "yyyymmdd")</f>
        <v>SI1668_20260327</v>
      </c>
      <c r="B385" t="s">
        <v>1683</v>
      </c>
      <c r="C385" s="99" t="str">
        <f>IFERROR(VLOOKUP(실험지시[[#This Row],[제품명]],BOM_개발품목[[제품명]:[사양]],5,0),"")</f>
        <v>M251356_01</v>
      </c>
      <c r="D385" s="112" t="str">
        <f>IFERROR(VLOOKUP(실험지시[[#This Row],[제품명]],BOM_개발품목[[제품명]:[사양]],4,0),"")</f>
        <v>SI1668</v>
      </c>
      <c r="E385" s="1">
        <v>46108</v>
      </c>
      <c r="F385" t="s">
        <v>74</v>
      </c>
      <c r="G385" s="1" t="s">
        <v>157</v>
      </c>
      <c r="H385" t="s">
        <v>1828</v>
      </c>
      <c r="I385" s="3">
        <v>4</v>
      </c>
      <c r="J385" s="46">
        <v>4</v>
      </c>
      <c r="L385" s="129" t="str">
        <f>실험지시[[#This Row],[금형코드]]</f>
        <v>M251356_01</v>
      </c>
      <c r="M385" s="131" t="str">
        <f>IFERROR(VLOOKUP($A385,[5]실험의뢰_장진영!$A:$M,5,0),"")</f>
        <v/>
      </c>
      <c r="N385" s="104" t="str">
        <f>IFERROR(VLOOKUP($A385,[5]실험의뢰_장진영!$A:$M,4,0),"")</f>
        <v/>
      </c>
      <c r="O385" s="132" t="str">
        <f>IFERROR(VLOOKUP($A385,[5]실험의뢰_장진영!$A:$M,6,0),"")</f>
        <v/>
      </c>
      <c r="P385" s="99" t="str">
        <f>IFERROR(VLOOKUP(실험지시[[#This Row],[제품명]],BOM_개발품목[[제품명]:[사양]],7,0),"")</f>
        <v>PP (롯데케미칼 J-560S)</v>
      </c>
      <c r="Q385" s="104" t="str">
        <f>IFERROR(VLOOKUP($A385,[5]실험의뢰_장진영!$A:$M,11,0),"")</f>
        <v/>
      </c>
      <c r="R385" s="104" t="str">
        <f>IFERROR(VLOOKUP($A385,[5]실험의뢰_장진영!$A:$M,12,0),"")</f>
        <v/>
      </c>
      <c r="S385" s="104" t="str">
        <f>IFERROR(VLOOKUP($A385,[5]실험의뢰_장진영!$A:$M,13,0),"")</f>
        <v/>
      </c>
      <c r="T385" s="58"/>
    </row>
    <row r="386" spans="1:20" ht="30" customHeight="1">
      <c r="A386" s="99" t="str">
        <f>실험지시[[#This Row],[품목코드]] &amp; "_" &amp; TEXT(실험지시[[#This Row],[실험지시일자]], "yyyymmdd")</f>
        <v>SI1672_20260330</v>
      </c>
      <c r="B386" t="s">
        <v>1739</v>
      </c>
      <c r="C386" s="99" t="str">
        <f>IFERROR(VLOOKUP(실험지시[[#This Row],[제품명]],BOM_개발품목[[제품명]:[사양]],5,0),"")</f>
        <v>S251017_01</v>
      </c>
      <c r="D386" s="112" t="str">
        <f>IFERROR(VLOOKUP(실험지시[[#This Row],[제품명]],BOM_개발품목[[제품명]:[사양]],4,0),"")</f>
        <v>SI1672</v>
      </c>
      <c r="E386" s="1">
        <v>46111</v>
      </c>
      <c r="F386" t="s">
        <v>114</v>
      </c>
      <c r="G386" s="1" t="s">
        <v>499</v>
      </c>
      <c r="H386">
        <v>713</v>
      </c>
      <c r="I386" s="3">
        <v>4</v>
      </c>
      <c r="J386" s="46">
        <v>15</v>
      </c>
      <c r="L386" s="129" t="str">
        <f>실험지시[[#This Row],[금형코드]]</f>
        <v>S251017_01</v>
      </c>
      <c r="M386" s="131" t="str">
        <f>IFERROR(VLOOKUP($A386,[5]실험의뢰_장진영!$A:$M,5,0),"")</f>
        <v/>
      </c>
      <c r="N386" s="104" t="str">
        <f>IFERROR(VLOOKUP($A386,[5]실험의뢰_장진영!$A:$M,4,0),"")</f>
        <v/>
      </c>
      <c r="O386" s="132" t="str">
        <f>IFERROR(VLOOKUP($A386,[5]실험의뢰_장진영!$A:$M,6,0),"")</f>
        <v/>
      </c>
      <c r="P386" s="99" t="str">
        <f>IFERROR(VLOOKUP(실험지시[[#This Row],[제품명]],BOM_개발품목[[제품명]:[사양]],7,0),"")</f>
        <v>ABS (롯데첨단소재 MP-0670)</v>
      </c>
      <c r="Q386" s="104" t="str">
        <f>IFERROR(VLOOKUP($A386,[5]실험의뢰_장진영!$A:$M,11,0),"")</f>
        <v/>
      </c>
      <c r="R386" s="104" t="str">
        <f>IFERROR(VLOOKUP($A386,[5]실험의뢰_장진영!$A:$M,12,0),"")</f>
        <v/>
      </c>
      <c r="S386" s="104" t="str">
        <f>IFERROR(VLOOKUP($A386,[5]실험의뢰_장진영!$A:$M,13,0),"")</f>
        <v/>
      </c>
      <c r="T386" s="58"/>
    </row>
    <row r="387" spans="1:20" ht="30" customHeight="1">
      <c r="A387" s="99" t="str">
        <f>실험지시[[#This Row],[품목코드]] &amp; "_" &amp; TEXT(실험지시[[#This Row],[실험지시일자]], "yyyymmdd")</f>
        <v>SI1673_20260330</v>
      </c>
      <c r="B387" t="s">
        <v>1742</v>
      </c>
      <c r="C387" s="99" t="str">
        <f>IFERROR(VLOOKUP(실험지시[[#This Row],[제품명]],BOM_개발품목[[제품명]:[사양]],5,0),"")</f>
        <v>S251017_01</v>
      </c>
      <c r="D387" s="112" t="str">
        <f>IFERROR(VLOOKUP(실험지시[[#This Row],[제품명]],BOM_개발품목[[제품명]:[사양]],4,0),"")</f>
        <v>SI1673</v>
      </c>
      <c r="E387" s="1">
        <v>46111</v>
      </c>
      <c r="F387" t="s">
        <v>114</v>
      </c>
      <c r="G387" s="1" t="s">
        <v>499</v>
      </c>
      <c r="H387">
        <v>713</v>
      </c>
      <c r="I387" s="3">
        <v>4</v>
      </c>
      <c r="J387" s="46">
        <v>15</v>
      </c>
      <c r="L387" s="129" t="str">
        <f>실험지시[[#This Row],[금형코드]]</f>
        <v>S251017_01</v>
      </c>
      <c r="M387" s="131" t="str">
        <f>IFERROR(VLOOKUP($A387,[5]실험의뢰_장진영!$A:$M,5,0),"")</f>
        <v/>
      </c>
      <c r="N387" s="104" t="str">
        <f>IFERROR(VLOOKUP($A387,[5]실험의뢰_장진영!$A:$M,4,0),"")</f>
        <v/>
      </c>
      <c r="O387" s="132" t="str">
        <f>IFERROR(VLOOKUP($A387,[5]실험의뢰_장진영!$A:$M,6,0),"")</f>
        <v/>
      </c>
      <c r="P387" s="99" t="str">
        <f>IFERROR(VLOOKUP(실험지시[[#This Row],[제품명]],BOM_개발품목[[제품명]:[사양]],7,0),"")</f>
        <v>ABS (롯데첨단소재 MP-0670)</v>
      </c>
      <c r="Q387" s="104" t="str">
        <f>IFERROR(VLOOKUP($A387,[5]실험의뢰_장진영!$A:$M,11,0),"")</f>
        <v/>
      </c>
      <c r="R387" s="104" t="str">
        <f>IFERROR(VLOOKUP($A387,[5]실험의뢰_장진영!$A:$M,12,0),"")</f>
        <v/>
      </c>
      <c r="S387" s="104" t="str">
        <f>IFERROR(VLOOKUP($A387,[5]실험의뢰_장진영!$A:$M,13,0),"")</f>
        <v/>
      </c>
      <c r="T387" s="58"/>
    </row>
    <row r="388" spans="1:20" ht="30" customHeight="1">
      <c r="A388" s="99" t="str">
        <f>실험지시[[#This Row],[품목코드]] &amp; "_" &amp; TEXT(실험지시[[#This Row],[실험지시일자]], "yyyymmdd")</f>
        <v>SI1673_20260401</v>
      </c>
      <c r="B388" t="s">
        <v>1742</v>
      </c>
      <c r="C388" s="99" t="str">
        <f>IFERROR(VLOOKUP(실험지시[[#This Row],[제품명]],BOM_개발품목[[제품명]:[사양]],5,0),"")</f>
        <v>S251017_01</v>
      </c>
      <c r="D388" s="112" t="str">
        <f>IFERROR(VLOOKUP(실험지시[[#This Row],[제품명]],BOM_개발품목[[제품명]:[사양]],4,0),"")</f>
        <v>SI1673</v>
      </c>
      <c r="E388" s="1">
        <v>46113</v>
      </c>
      <c r="F388" t="s">
        <v>74</v>
      </c>
      <c r="G388" s="1" t="s">
        <v>499</v>
      </c>
      <c r="H388">
        <v>713</v>
      </c>
      <c r="I388" s="3">
        <v>4</v>
      </c>
      <c r="J388" s="46">
        <v>15</v>
      </c>
      <c r="L388" s="129" t="str">
        <f>실험지시[[#This Row],[금형코드]]</f>
        <v>S251017_01</v>
      </c>
      <c r="M388" s="131" t="str">
        <f>IFERROR(VLOOKUP($A388,[5]실험의뢰_장진영!$A:$M,5,0),"")</f>
        <v/>
      </c>
      <c r="N388" s="104" t="str">
        <f>IFERROR(VLOOKUP($A388,[5]실험의뢰_장진영!$A:$M,4,0),"")</f>
        <v/>
      </c>
      <c r="O388" s="132" t="str">
        <f>IFERROR(VLOOKUP($A388,[5]실험의뢰_장진영!$A:$M,6,0),"")</f>
        <v/>
      </c>
      <c r="P388" s="99" t="str">
        <f>IFERROR(VLOOKUP(실험지시[[#This Row],[제품명]],BOM_개발품목[[제품명]:[사양]],7,0),"")</f>
        <v>ABS (롯데첨단소재 MP-0670)</v>
      </c>
      <c r="Q388" s="104" t="str">
        <f>IFERROR(VLOOKUP($A388,[5]실험의뢰_장진영!$A:$M,11,0),"")</f>
        <v/>
      </c>
      <c r="R388" s="104" t="str">
        <f>IFERROR(VLOOKUP($A388,[5]실험의뢰_장진영!$A:$M,12,0),"")</f>
        <v/>
      </c>
      <c r="S388" s="104" t="str">
        <f>IFERROR(VLOOKUP($A388,[5]실험의뢰_장진영!$A:$M,13,0),"")</f>
        <v/>
      </c>
      <c r="T388" s="58"/>
    </row>
    <row r="389" spans="1:20" ht="30" customHeight="1">
      <c r="A389" s="99" t="str">
        <f>실험지시[[#This Row],[품목코드]] &amp; "_" &amp; TEXT(실험지시[[#This Row],[실험지시일자]], "yyyymmdd")</f>
        <v>SI1676_20260403</v>
      </c>
      <c r="B389" t="s">
        <v>1746</v>
      </c>
      <c r="C389" s="99" t="str">
        <f>IFERROR(VLOOKUP(실험지시[[#This Row],[제품명]],BOM_개발품목[[제품명]:[사양]],5,0),"")</f>
        <v>S251018_01</v>
      </c>
      <c r="D389" s="112" t="str">
        <f>IFERROR(VLOOKUP(실험지시[[#This Row],[제품명]],BOM_개발품목[[제품명]:[사양]],4,0),"")</f>
        <v>SI1676</v>
      </c>
      <c r="E389" s="1">
        <v>46115</v>
      </c>
      <c r="F389" t="s">
        <v>74</v>
      </c>
      <c r="G389" s="1" t="s">
        <v>152</v>
      </c>
      <c r="H389" t="s">
        <v>1645</v>
      </c>
      <c r="I389" s="3">
        <v>2</v>
      </c>
      <c r="J389" s="46">
        <v>15</v>
      </c>
      <c r="L389" s="129" t="str">
        <f>실험지시[[#This Row],[금형코드]]</f>
        <v>S251018_01</v>
      </c>
      <c r="M389" s="131" t="str">
        <f>IFERROR(VLOOKUP($A389,[5]실험의뢰_장진영!$A:$M,5,0),"")</f>
        <v/>
      </c>
      <c r="N389" s="104" t="str">
        <f>IFERROR(VLOOKUP($A389,[5]실험의뢰_장진영!$A:$M,4,0),"")</f>
        <v/>
      </c>
      <c r="O389" s="132" t="str">
        <f>IFERROR(VLOOKUP($A389,[5]실험의뢰_장진영!$A:$M,6,0),"")</f>
        <v/>
      </c>
      <c r="P389" s="99" t="str">
        <f>IFERROR(VLOOKUP(실험지시[[#This Row],[제품명]],BOM_개발품목[[제품명]:[사양]],7,0),"")</f>
        <v>PP+PE</v>
      </c>
      <c r="Q389" s="104" t="str">
        <f>IFERROR(VLOOKUP($A389,[5]실험의뢰_장진영!$A:$M,11,0),"")</f>
        <v/>
      </c>
      <c r="R389" s="104" t="str">
        <f>IFERROR(VLOOKUP($A389,[5]실험의뢰_장진영!$A:$M,12,0),"")</f>
        <v/>
      </c>
      <c r="S389" s="104" t="str">
        <f>IFERROR(VLOOKUP($A389,[5]실험의뢰_장진영!$A:$M,13,0),"")</f>
        <v/>
      </c>
      <c r="T389" s="58"/>
    </row>
    <row r="390" spans="1:20" ht="30" customHeight="1">
      <c r="A390" s="99" t="str">
        <f>실험지시[[#This Row],[품목코드]] &amp; "_" &amp; TEXT(실험지시[[#This Row],[실험지시일자]], "yyyymmdd")</f>
        <v>SI1679_20260413</v>
      </c>
      <c r="B390" t="s">
        <v>1815</v>
      </c>
      <c r="C390" s="99" t="str">
        <f>IFERROR(VLOOKUP(실험지시[[#This Row],[제품명]],BOM_개발품목[[제품명]:[사양]],5,0),"")</f>
        <v>M261009_01</v>
      </c>
      <c r="D390" s="112" t="str">
        <f>IFERROR(VLOOKUP(실험지시[[#This Row],[제품명]],BOM_개발품목[[제품명]:[사양]],4,0),"")</f>
        <v>SI1679</v>
      </c>
      <c r="E390" s="1">
        <v>46125</v>
      </c>
      <c r="F390" t="s">
        <v>74</v>
      </c>
      <c r="G390" s="1" t="s">
        <v>499</v>
      </c>
      <c r="H390" t="s">
        <v>500</v>
      </c>
      <c r="I390" s="3">
        <v>5</v>
      </c>
      <c r="J390" s="46">
        <v>24</v>
      </c>
      <c r="L390" s="129" t="str">
        <f>실험지시[[#This Row],[금형코드]]</f>
        <v>M261009_01</v>
      </c>
      <c r="M390" s="131" t="str">
        <f>IFERROR(VLOOKUP($A390,[5]실험의뢰_장진영!$A:$M,5,0),"")</f>
        <v/>
      </c>
      <c r="N390" s="104" t="str">
        <f>IFERROR(VLOOKUP($A390,[5]실험의뢰_장진영!$A:$M,4,0),"")</f>
        <v/>
      </c>
      <c r="O390" s="132" t="str">
        <f>IFERROR(VLOOKUP($A390,[5]실험의뢰_장진영!$A:$M,6,0),"")</f>
        <v/>
      </c>
      <c r="P390" s="99" t="str">
        <f>IFERROR(VLOOKUP(실험지시[[#This Row],[제품명]],BOM_개발품목[[제품명]:[사양]],7,0),"")</f>
        <v>ABS (롯데첨단소재 MP-0670)</v>
      </c>
      <c r="Q390" s="104" t="str">
        <f>IFERROR(VLOOKUP($A390,[5]실험의뢰_장진영!$A:$M,11,0),"")</f>
        <v/>
      </c>
      <c r="R390" s="104" t="str">
        <f>IFERROR(VLOOKUP($A390,[5]실험의뢰_장진영!$A:$M,12,0),"")</f>
        <v/>
      </c>
      <c r="S390" s="104" t="str">
        <f>IFERROR(VLOOKUP($A390,[5]실험의뢰_장진영!$A:$M,13,0),"")</f>
        <v/>
      </c>
      <c r="T390" s="58"/>
    </row>
    <row r="391" spans="1:20" ht="30" customHeight="1">
      <c r="A391" s="99" t="str">
        <f>실험지시[[#This Row],[품목코드]] &amp; "_" &amp; TEXT(실험지시[[#This Row],[실험지시일자]], "yyyymmdd")</f>
        <v>SI1678_20260413</v>
      </c>
      <c r="B391" t="s">
        <v>1809</v>
      </c>
      <c r="C391" s="99" t="str">
        <f>IFERROR(VLOOKUP(실험지시[[#This Row],[제품명]],BOM_개발품목[[제품명]:[사양]],5,0),"")</f>
        <v>M261008_01</v>
      </c>
      <c r="D391" s="112" t="str">
        <f>IFERROR(VLOOKUP(실험지시[[#This Row],[제품명]],BOM_개발품목[[제품명]:[사양]],4,0),"")</f>
        <v>SI1678</v>
      </c>
      <c r="E391" s="1">
        <v>46125</v>
      </c>
      <c r="F391" t="s">
        <v>74</v>
      </c>
      <c r="G391" s="1" t="s">
        <v>499</v>
      </c>
      <c r="H391" t="s">
        <v>1818</v>
      </c>
      <c r="I391" s="3">
        <v>5</v>
      </c>
      <c r="J391" s="46">
        <v>24</v>
      </c>
      <c r="L391" s="129" t="str">
        <f>실험지시[[#This Row],[금형코드]]</f>
        <v>M261008_01</v>
      </c>
      <c r="M391" s="131" t="str">
        <f>IFERROR(VLOOKUP($A391,[5]실험의뢰_장진영!$A:$M,5,0),"")</f>
        <v/>
      </c>
      <c r="N391" s="104" t="str">
        <f>IFERROR(VLOOKUP($A391,[5]실험의뢰_장진영!$A:$M,4,0),"")</f>
        <v/>
      </c>
      <c r="O391" s="132" t="str">
        <f>IFERROR(VLOOKUP($A391,[5]실험의뢰_장진영!$A:$M,6,0),"")</f>
        <v/>
      </c>
      <c r="P391" s="99" t="str">
        <f>IFERROR(VLOOKUP(실험지시[[#This Row],[제품명]],BOM_개발품목[[제품명]:[사양]],7,0),"")</f>
        <v>ABS (롯데첨단소재 MP-0670)</v>
      </c>
      <c r="Q391" s="104" t="str">
        <f>IFERROR(VLOOKUP($A391,[5]실험의뢰_장진영!$A:$M,11,0),"")</f>
        <v/>
      </c>
      <c r="R391" s="104" t="str">
        <f>IFERROR(VLOOKUP($A391,[5]실험의뢰_장진영!$A:$M,12,0),"")</f>
        <v/>
      </c>
      <c r="S391" s="104" t="str">
        <f>IFERROR(VLOOKUP($A391,[5]실험의뢰_장진영!$A:$M,13,0),"")</f>
        <v/>
      </c>
      <c r="T391" s="58"/>
    </row>
    <row r="392" spans="1:20" ht="30" customHeight="1">
      <c r="A392" s="99" t="str">
        <f>실험지시[[#This Row],[품목코드]] &amp; "_" &amp; TEXT(실험지시[[#This Row],[실험지시일자]], "yyyymmdd")</f>
        <v>SI1673_20260413</v>
      </c>
      <c r="B392" t="s">
        <v>1742</v>
      </c>
      <c r="C392" s="99" t="str">
        <f>IFERROR(VLOOKUP(실험지시[[#This Row],[제품명]],BOM_개발품목[[제품명]:[사양]],5,0),"")</f>
        <v>S251017_01</v>
      </c>
      <c r="D392" s="112" t="str">
        <f>IFERROR(VLOOKUP(실험지시[[#This Row],[제품명]],BOM_개발품목[[제품명]:[사양]],4,0),"")</f>
        <v>SI1673</v>
      </c>
      <c r="E392" s="1">
        <v>46125</v>
      </c>
      <c r="F392" t="s">
        <v>74</v>
      </c>
      <c r="G392" s="1" t="s">
        <v>499</v>
      </c>
      <c r="H392">
        <v>713</v>
      </c>
      <c r="I392" s="3">
        <v>4</v>
      </c>
      <c r="J392" s="46">
        <v>24</v>
      </c>
      <c r="K392" s="74">
        <v>260406</v>
      </c>
      <c r="L392" s="129" t="str">
        <f>실험지시[[#This Row],[금형코드]]</f>
        <v>S251017_01</v>
      </c>
      <c r="M392" s="131" t="str">
        <f>IFERROR(VLOOKUP($A392,[5]실험의뢰_장진영!$A:$M,5,0),"")</f>
        <v/>
      </c>
      <c r="N392" s="104" t="str">
        <f>IFERROR(VLOOKUP($A392,[5]실험의뢰_장진영!$A:$M,4,0),"")</f>
        <v/>
      </c>
      <c r="O392" s="132" t="str">
        <f>IFERROR(VLOOKUP($A392,[5]실험의뢰_장진영!$A:$M,6,0),"")</f>
        <v/>
      </c>
      <c r="P392" s="99" t="str">
        <f>IFERROR(VLOOKUP(실험지시[[#This Row],[제품명]],BOM_개발품목[[제품명]:[사양]],7,0),"")</f>
        <v>ABS (롯데첨단소재 MP-0670)</v>
      </c>
      <c r="Q392" s="104" t="str">
        <f>IFERROR(VLOOKUP($A392,[5]실험의뢰_장진영!$A:$M,11,0),"")</f>
        <v/>
      </c>
      <c r="R392" s="104" t="str">
        <f>IFERROR(VLOOKUP($A392,[5]실험의뢰_장진영!$A:$M,12,0),"")</f>
        <v/>
      </c>
      <c r="S392" s="104" t="str">
        <f>IFERROR(VLOOKUP($A392,[5]실험의뢰_장진영!$A:$M,13,0),"")</f>
        <v/>
      </c>
      <c r="T392" s="58"/>
    </row>
    <row r="393" spans="1:20" ht="30" customHeight="1">
      <c r="A393" s="99" t="str">
        <f>실험지시[[#This Row],[품목코드]] &amp; "_" &amp; TEXT(실험지시[[#This Row],[실험지시일자]], "yyyymmdd")</f>
        <v>SI1676_20260414</v>
      </c>
      <c r="B393" t="s">
        <v>1746</v>
      </c>
      <c r="C393" s="99" t="str">
        <f>IFERROR(VLOOKUP(실험지시[[#This Row],[제품명]],BOM_개발품목[[제품명]:[사양]],5,0),"")</f>
        <v>S251018_01</v>
      </c>
      <c r="D393" s="112" t="str">
        <f>IFERROR(VLOOKUP(실험지시[[#This Row],[제품명]],BOM_개발품목[[제품명]:[사양]],4,0),"")</f>
        <v>SI1676</v>
      </c>
      <c r="E393" s="1">
        <v>46126</v>
      </c>
      <c r="F393" t="s">
        <v>74</v>
      </c>
      <c r="G393" s="1" t="s">
        <v>152</v>
      </c>
      <c r="H393" t="s">
        <v>1645</v>
      </c>
      <c r="I393" s="3">
        <v>2</v>
      </c>
      <c r="J393" s="46">
        <v>24</v>
      </c>
      <c r="K393" s="74">
        <v>260406</v>
      </c>
      <c r="L393" s="129" t="str">
        <f>실험지시[[#This Row],[금형코드]]</f>
        <v>S251018_01</v>
      </c>
      <c r="M393" s="131" t="str">
        <f>IFERROR(VLOOKUP($A393,[5]실험의뢰_장진영!$A:$M,5,0),"")</f>
        <v/>
      </c>
      <c r="N393" s="104" t="str">
        <f>IFERROR(VLOOKUP($A393,[5]실험의뢰_장진영!$A:$M,4,0),"")</f>
        <v/>
      </c>
      <c r="O393" s="132" t="str">
        <f>IFERROR(VLOOKUP($A393,[5]실험의뢰_장진영!$A:$M,6,0),"")</f>
        <v/>
      </c>
      <c r="P393" s="99" t="str">
        <f>IFERROR(VLOOKUP(실험지시[[#This Row],[제품명]],BOM_개발품목[[제품명]:[사양]],7,0),"")</f>
        <v>PP+PE</v>
      </c>
      <c r="Q393" s="104" t="str">
        <f>IFERROR(VLOOKUP($A393,[5]실험의뢰_장진영!$A:$M,11,0),"")</f>
        <v/>
      </c>
      <c r="R393" s="104" t="str">
        <f>IFERROR(VLOOKUP($A393,[5]실험의뢰_장진영!$A:$M,12,0),"")</f>
        <v/>
      </c>
      <c r="S393" s="104" t="str">
        <f>IFERROR(VLOOKUP($A393,[5]실험의뢰_장진영!$A:$M,13,0),"")</f>
        <v/>
      </c>
      <c r="T393" s="58"/>
    </row>
    <row r="394" spans="1:20" ht="30" customHeight="1">
      <c r="A394" s="99" t="str">
        <f>실험지시[[#This Row],[품목코드]] &amp; "_" &amp; TEXT(실험지시[[#This Row],[실험지시일자]], "yyyymmdd")</f>
        <v>SI1675_20260414</v>
      </c>
      <c r="B394" t="s">
        <v>1749</v>
      </c>
      <c r="C394" s="99" t="str">
        <f>IFERROR(VLOOKUP(실험지시[[#This Row],[제품명]],BOM_개발품목[[제품명]:[사양]],5,0),"")</f>
        <v>S251018_01</v>
      </c>
      <c r="D394" s="112" t="str">
        <f>IFERROR(VLOOKUP(실험지시[[#This Row],[제품명]],BOM_개발품목[[제품명]:[사양]],4,0),"")</f>
        <v>SI1675</v>
      </c>
      <c r="E394" s="1">
        <v>46126</v>
      </c>
      <c r="F394" t="s">
        <v>74</v>
      </c>
      <c r="G394" s="1" t="s">
        <v>1764</v>
      </c>
      <c r="H394" t="s">
        <v>1645</v>
      </c>
      <c r="I394" s="3">
        <v>2</v>
      </c>
      <c r="J394" s="46">
        <v>24</v>
      </c>
      <c r="K394" s="74">
        <v>260406</v>
      </c>
      <c r="L394" s="129" t="str">
        <f>실험지시[[#This Row],[금형코드]]</f>
        <v>S251018_01</v>
      </c>
      <c r="M394" s="131" t="str">
        <f>IFERROR(VLOOKUP($A394,[5]실험의뢰_장진영!$A:$M,5,0),"")</f>
        <v/>
      </c>
      <c r="N394" s="104" t="str">
        <f>IFERROR(VLOOKUP($A394,[5]실험의뢰_장진영!$A:$M,4,0),"")</f>
        <v/>
      </c>
      <c r="O394" s="132" t="str">
        <f>IFERROR(VLOOKUP($A394,[5]실험의뢰_장진영!$A:$M,6,0),"")</f>
        <v/>
      </c>
      <c r="P394" s="99" t="str">
        <f>IFERROR(VLOOKUP(실험지시[[#This Row],[제품명]],BOM_개발품목[[제품명]:[사양]],7,0),"")</f>
        <v>PP+PE</v>
      </c>
      <c r="Q394" s="104" t="str">
        <f>IFERROR(VLOOKUP($A394,[5]실험의뢰_장진영!$A:$M,11,0),"")</f>
        <v/>
      </c>
      <c r="R394" s="104" t="str">
        <f>IFERROR(VLOOKUP($A394,[5]실험의뢰_장진영!$A:$M,12,0),"")</f>
        <v/>
      </c>
      <c r="S394" s="104" t="str">
        <f>IFERROR(VLOOKUP($A394,[5]실험의뢰_장진영!$A:$M,13,0),"")</f>
        <v/>
      </c>
      <c r="T394" s="58"/>
    </row>
    <row r="395" spans="1:20" ht="30" customHeight="1">
      <c r="A395" s="99" t="str">
        <f>실험지시[[#This Row],[품목코드]] &amp; "_" &amp; TEXT(실험지시[[#This Row],[실험지시일자]], "yyyymmdd")</f>
        <v>SI1674_20260414</v>
      </c>
      <c r="B395" t="s">
        <v>1744</v>
      </c>
      <c r="C395" s="99" t="str">
        <f>IFERROR(VLOOKUP(실험지시[[#This Row],[제품명]],BOM_개발품목[[제품명]:[사양]],5,0),"")</f>
        <v>S251019_01</v>
      </c>
      <c r="D395" s="112" t="str">
        <f>IFERROR(VLOOKUP(실험지시[[#This Row],[제품명]],BOM_개발품목[[제품명]:[사양]],4,0),"")</f>
        <v>SI1674</v>
      </c>
      <c r="E395" s="1">
        <v>46126</v>
      </c>
      <c r="F395" t="s">
        <v>74</v>
      </c>
      <c r="G395" s="1" t="s">
        <v>152</v>
      </c>
      <c r="H395" t="s">
        <v>1645</v>
      </c>
      <c r="I395" s="3">
        <v>2</v>
      </c>
      <c r="J395" s="46">
        <v>24</v>
      </c>
      <c r="K395" s="74">
        <v>260406</v>
      </c>
      <c r="L395" s="129" t="str">
        <f>실험지시[[#This Row],[금형코드]]</f>
        <v>S251019_01</v>
      </c>
      <c r="M395" s="131" t="str">
        <f>IFERROR(VLOOKUP($A395,[5]실험의뢰_장진영!$A:$M,5,0),"")</f>
        <v/>
      </c>
      <c r="N395" s="104" t="str">
        <f>IFERROR(VLOOKUP($A395,[5]실험의뢰_장진영!$A:$M,4,0),"")</f>
        <v/>
      </c>
      <c r="O395" s="132" t="str">
        <f>IFERROR(VLOOKUP($A395,[5]실험의뢰_장진영!$A:$M,6,0),"")</f>
        <v/>
      </c>
      <c r="P395" s="99" t="str">
        <f>IFERROR(VLOOKUP(실험지시[[#This Row],[제품명]],BOM_개발품목[[제품명]:[사양]],7,0),"")</f>
        <v>PP (롯데케미칼 J-560S)</v>
      </c>
      <c r="Q395" s="104" t="str">
        <f>IFERROR(VLOOKUP($A395,[5]실험의뢰_장진영!$A:$M,11,0),"")</f>
        <v/>
      </c>
      <c r="R395" s="104" t="str">
        <f>IFERROR(VLOOKUP($A395,[5]실험의뢰_장진영!$A:$M,12,0),"")</f>
        <v/>
      </c>
      <c r="S395" s="104" t="str">
        <f>IFERROR(VLOOKUP($A395,[5]실험의뢰_장진영!$A:$M,13,0),"")</f>
        <v/>
      </c>
      <c r="T395" s="58"/>
    </row>
    <row r="396" spans="1:20" ht="30" customHeight="1">
      <c r="A396" s="99" t="str">
        <f>실험지시[[#This Row],[품목코드]] &amp; "_" &amp; TEXT(실험지시[[#This Row],[실험지시일자]], "yyyymmdd")</f>
        <v>SI1622_19000100</v>
      </c>
      <c r="B396" t="s">
        <v>942</v>
      </c>
      <c r="C396" s="99" t="str">
        <f>IFERROR(VLOOKUP(실험지시[[#This Row],[제품명]],BOM_개발품목[[제품명]:[사양]],5,0),"")</f>
        <v>M251192_01</v>
      </c>
      <c r="D396" s="112" t="str">
        <f>IFERROR(VLOOKUP(실험지시[[#This Row],[제품명]],BOM_개발품목[[제품명]:[사양]],4,0),"")</f>
        <v>SI1622</v>
      </c>
      <c r="E396" s="1"/>
      <c r="G396" s="1" t="s">
        <v>1644</v>
      </c>
      <c r="I396" s="3"/>
      <c r="J396" s="46">
        <v>20</v>
      </c>
      <c r="L396" s="129" t="str">
        <f>실험지시[[#This Row],[금형코드]]</f>
        <v>M251192_01</v>
      </c>
      <c r="M396" s="131" t="str">
        <f>IFERROR(VLOOKUP($A396,[5]실험의뢰_장진영!$A:$M,5,0),"")</f>
        <v/>
      </c>
      <c r="N396" s="104" t="str">
        <f>IFERROR(VLOOKUP($A396,[5]실험의뢰_장진영!$A:$M,4,0),"")</f>
        <v/>
      </c>
      <c r="O396" s="132" t="str">
        <f>IFERROR(VLOOKUP($A396,[5]실험의뢰_장진영!$A:$M,6,0),"")</f>
        <v/>
      </c>
      <c r="P396" s="99" t="str">
        <f>IFERROR(VLOOKUP(실험지시[[#This Row],[제품명]],BOM_개발품목[[제품명]:[사양]],7,0),"")</f>
        <v>ABS (롯데첨단소재 MP-0670)</v>
      </c>
      <c r="Q396" s="104" t="str">
        <f>IFERROR(VLOOKUP($A396,[5]실험의뢰_장진영!$A:$M,11,0),"")</f>
        <v/>
      </c>
      <c r="R396" s="104" t="str">
        <f>IFERROR(VLOOKUP($A396,[5]실험의뢰_장진영!$A:$M,12,0),"")</f>
        <v/>
      </c>
      <c r="S396" s="104" t="str">
        <f>IFERROR(VLOOKUP($A396,[5]실험의뢰_장진영!$A:$M,13,0),"")</f>
        <v/>
      </c>
      <c r="T396" s="58"/>
    </row>
    <row r="397" spans="1:20" ht="30" customHeight="1">
      <c r="A397" s="99" t="str">
        <f>실험지시[[#This Row],[품목코드]] &amp; "_" &amp; TEXT(실험지시[[#This Row],[실험지시일자]], "yyyymmdd")</f>
        <v>SI1616_20260612</v>
      </c>
      <c r="B397" t="s">
        <v>936</v>
      </c>
      <c r="C397" s="99" t="str">
        <f>IFERROR(VLOOKUP(실험지시[[#This Row],[제품명]],BOM_개발품목[[제품명]:[사양]],5,0),"")</f>
        <v>M251186_01</v>
      </c>
      <c r="D397" s="112" t="str">
        <f>IFERROR(VLOOKUP(실험지시[[#This Row],[제품명]],BOM_개발품목[[제품명]:[사양]],4,0),"")</f>
        <v>SI1616</v>
      </c>
      <c r="E397" s="1">
        <v>46185</v>
      </c>
      <c r="G397" s="100" t="s">
        <v>484</v>
      </c>
      <c r="H397" t="s">
        <v>1833</v>
      </c>
      <c r="I397" s="3">
        <v>6</v>
      </c>
      <c r="J397" s="46">
        <v>20</v>
      </c>
      <c r="K397" s="74">
        <v>250930</v>
      </c>
      <c r="L397" s="129" t="str">
        <f>실험지시[[#This Row],[금형코드]]</f>
        <v>M251186_01</v>
      </c>
      <c r="M397" s="131" t="str">
        <f>IFERROR(VLOOKUP($A397,[5]실험의뢰_장진영!$A:$M,5,0),"")</f>
        <v/>
      </c>
      <c r="N397" s="104" t="str">
        <f>IFERROR(VLOOKUP($A397,[5]실험의뢰_장진영!$A:$M,4,0),"")</f>
        <v/>
      </c>
      <c r="O397" s="132" t="str">
        <f>IFERROR(VLOOKUP($A397,[5]실험의뢰_장진영!$A:$M,6,0),"")</f>
        <v/>
      </c>
      <c r="P397" s="99" t="str">
        <f>IFERROR(VLOOKUP(실험지시[[#This Row],[제품명]],BOM_개발품목[[제품명]:[사양]],7,0),"")</f>
        <v>Hytrel (Dupont H7246)</v>
      </c>
      <c r="Q397" s="104" t="str">
        <f>IFERROR(VLOOKUP($A397,[5]실험의뢰_장진영!$A:$M,11,0),"")</f>
        <v/>
      </c>
      <c r="R397" s="104" t="str">
        <f>IFERROR(VLOOKUP($A397,[5]실험의뢰_장진영!$A:$M,12,0),"")</f>
        <v/>
      </c>
      <c r="S397" s="104" t="str">
        <f>IFERROR(VLOOKUP($A397,[5]실험의뢰_장진영!$A:$M,13,0),"")</f>
        <v/>
      </c>
      <c r="T397" s="58"/>
    </row>
    <row r="398" spans="1:20" ht="30" customHeight="1">
      <c r="A398" s="99" t="str">
        <f>실험지시[[#This Row],[품목코드]] &amp; "_" &amp; TEXT(실험지시[[#This Row],[실험지시일자]], "yyyymmdd")</f>
        <v>SI1617_20260609</v>
      </c>
      <c r="B398" t="s">
        <v>937</v>
      </c>
      <c r="C398" s="99" t="str">
        <f>IFERROR(VLOOKUP(실험지시[[#This Row],[제품명]],BOM_개발품목[[제품명]:[사양]],5,0),"")</f>
        <v>M251188_01</v>
      </c>
      <c r="D398" s="112" t="str">
        <f>IFERROR(VLOOKUP(실험지시[[#This Row],[제품명]],BOM_개발품목[[제품명]:[사양]],4,0),"")</f>
        <v>SI1617</v>
      </c>
      <c r="E398" s="1">
        <v>46182</v>
      </c>
      <c r="F398" t="s">
        <v>161</v>
      </c>
      <c r="G398" s="1" t="s">
        <v>499</v>
      </c>
      <c r="H398" t="s">
        <v>1670</v>
      </c>
      <c r="I398" s="3">
        <v>6</v>
      </c>
      <c r="J398" s="46">
        <v>22</v>
      </c>
      <c r="K398" s="74">
        <v>250725</v>
      </c>
      <c r="L398" s="129" t="str">
        <f>실험지시[[#This Row],[금형코드]]</f>
        <v>M251188_01</v>
      </c>
      <c r="M398" s="131" t="str">
        <f>IFERROR(VLOOKUP($A398,[5]실험의뢰_장진영!$A:$M,5,0),"")</f>
        <v/>
      </c>
      <c r="N398" s="104" t="str">
        <f>IFERROR(VLOOKUP($A398,[5]실험의뢰_장진영!$A:$M,4,0),"")</f>
        <v/>
      </c>
      <c r="O398" s="132" t="str">
        <f>IFERROR(VLOOKUP($A398,[5]실험의뢰_장진영!$A:$M,6,0),"")</f>
        <v/>
      </c>
      <c r="P398" s="99" t="str">
        <f>IFERROR(VLOOKUP(실험지시[[#This Row],[제품명]],BOM_개발품목[[제품명]:[사양]],7,0),"")</f>
        <v>ABS (롯데첨단소재 MP-0670)</v>
      </c>
      <c r="Q398" s="104" t="str">
        <f>IFERROR(VLOOKUP($A398,[5]실험의뢰_장진영!$A:$M,11,0),"")</f>
        <v/>
      </c>
      <c r="R398" s="104" t="str">
        <f>IFERROR(VLOOKUP($A398,[5]실험의뢰_장진영!$A:$M,12,0),"")</f>
        <v/>
      </c>
      <c r="S398" s="104" t="str">
        <f>IFERROR(VLOOKUP($A398,[5]실험의뢰_장진영!$A:$M,13,0),"")</f>
        <v/>
      </c>
      <c r="T398" s="58"/>
    </row>
    <row r="399" spans="1:20" ht="30" customHeight="1">
      <c r="A399" s="99" t="str">
        <f>실험지시[[#This Row],[품목코드]] &amp; "_" &amp; TEXT(실험지시[[#This Row],[실험지시일자]], "yyyymmdd")</f>
        <v>SI1620_20260609</v>
      </c>
      <c r="B399" t="s">
        <v>940</v>
      </c>
      <c r="C399" s="99" t="str">
        <f>IFERROR(VLOOKUP(실험지시[[#This Row],[제품명]],BOM_개발품목[[제품명]:[사양]],5,0),"")</f>
        <v>M251190_01</v>
      </c>
      <c r="D399" s="112" t="str">
        <f>IFERROR(VLOOKUP(실험지시[[#This Row],[제품명]],BOM_개발품목[[제품명]:[사양]],4,0),"")</f>
        <v>SI1620</v>
      </c>
      <c r="E399" s="1">
        <v>46182</v>
      </c>
      <c r="F399" t="s">
        <v>161</v>
      </c>
      <c r="G399" s="1" t="s">
        <v>499</v>
      </c>
      <c r="H399" t="s">
        <v>1670</v>
      </c>
      <c r="I399" s="3">
        <v>6</v>
      </c>
      <c r="J399" s="46">
        <v>22</v>
      </c>
      <c r="K399" s="74">
        <v>250801</v>
      </c>
      <c r="L399" s="129" t="str">
        <f>실험지시[[#This Row],[금형코드]]</f>
        <v>M251190_01</v>
      </c>
      <c r="M399" s="131" t="str">
        <f>IFERROR(VLOOKUP($A399,[5]실험의뢰_장진영!$A:$M,5,0),"")</f>
        <v/>
      </c>
      <c r="N399" s="104" t="str">
        <f>IFERROR(VLOOKUP($A399,[5]실험의뢰_장진영!$A:$M,4,0),"")</f>
        <v/>
      </c>
      <c r="O399" s="132" t="str">
        <f>IFERROR(VLOOKUP($A399,[5]실험의뢰_장진영!$A:$M,6,0),"")</f>
        <v/>
      </c>
      <c r="P399" s="99" t="str">
        <f>IFERROR(VLOOKUP(실험지시[[#This Row],[제품명]],BOM_개발품목[[제품명]:[사양]],7,0),"")</f>
        <v>ABS (롯데첨단소재 MP-0670)</v>
      </c>
      <c r="Q399" s="104" t="str">
        <f>IFERROR(VLOOKUP($A399,[5]실험의뢰_장진영!$A:$M,11,0),"")</f>
        <v/>
      </c>
      <c r="R399" s="104" t="str">
        <f>IFERROR(VLOOKUP($A399,[5]실험의뢰_장진영!$A:$M,12,0),"")</f>
        <v/>
      </c>
      <c r="S399" s="104" t="str">
        <f>IFERROR(VLOOKUP($A399,[5]실험의뢰_장진영!$A:$M,13,0),"")</f>
        <v/>
      </c>
      <c r="T399" s="58"/>
    </row>
    <row r="400" spans="1:20" ht="30" customHeight="1">
      <c r="A400" s="99" t="str">
        <f>실험지시[[#This Row],[품목코드]] &amp; "_" &amp; TEXT(실험지시[[#This Row],[실험지시일자]], "yyyymmdd")</f>
        <v>SI1621_20260609</v>
      </c>
      <c r="B400" t="s">
        <v>941</v>
      </c>
      <c r="C400" s="99" t="str">
        <f>IFERROR(VLOOKUP(실험지시[[#This Row],[제품명]],BOM_개발품목[[제품명]:[사양]],5,0),"")</f>
        <v>M251191_01</v>
      </c>
      <c r="D400" s="112" t="str">
        <f>IFERROR(VLOOKUP(실험지시[[#This Row],[제품명]],BOM_개발품목[[제품명]:[사양]],4,0),"")</f>
        <v>SI1621</v>
      </c>
      <c r="E400" s="1">
        <v>46182</v>
      </c>
      <c r="F400" t="s">
        <v>161</v>
      </c>
      <c r="G400" s="1" t="s">
        <v>499</v>
      </c>
      <c r="H400" t="s">
        <v>1670</v>
      </c>
      <c r="I400" s="3">
        <v>6</v>
      </c>
      <c r="J400" s="46">
        <v>22</v>
      </c>
      <c r="K400" s="74">
        <v>250801</v>
      </c>
      <c r="L400" s="129" t="str">
        <f>실험지시[[#This Row],[금형코드]]</f>
        <v>M251191_01</v>
      </c>
      <c r="M400" s="131" t="str">
        <f>IFERROR(VLOOKUP($A400,[5]실험의뢰_장진영!$A:$M,5,0),"")</f>
        <v/>
      </c>
      <c r="N400" s="104" t="str">
        <f>IFERROR(VLOOKUP($A400,[5]실험의뢰_장진영!$A:$M,4,0),"")</f>
        <v/>
      </c>
      <c r="O400" s="132" t="str">
        <f>IFERROR(VLOOKUP($A400,[5]실험의뢰_장진영!$A:$M,6,0),"")</f>
        <v/>
      </c>
      <c r="P400" s="99" t="str">
        <f>IFERROR(VLOOKUP(실험지시[[#This Row],[제품명]],BOM_개발품목[[제품명]:[사양]],7,0),"")</f>
        <v>ABS (롯데첨단소재 MP-0670)</v>
      </c>
      <c r="Q400" s="104" t="str">
        <f>IFERROR(VLOOKUP($A400,[5]실험의뢰_장진영!$A:$M,11,0),"")</f>
        <v/>
      </c>
      <c r="R400" s="104" t="str">
        <f>IFERROR(VLOOKUP($A400,[5]실험의뢰_장진영!$A:$M,12,0),"")</f>
        <v/>
      </c>
      <c r="S400" s="104" t="str">
        <f>IFERROR(VLOOKUP($A400,[5]실험의뢰_장진영!$A:$M,13,0),"")</f>
        <v/>
      </c>
      <c r="T400" s="58"/>
    </row>
    <row r="401" spans="1:20" ht="30" customHeight="1">
      <c r="A401" s="99" t="str">
        <f>실험지시[[#This Row],[품목코드]] &amp; "_" &amp; TEXT(실험지시[[#This Row],[실험지시일자]], "yyyymmdd")</f>
        <v>SI1618_20260610</v>
      </c>
      <c r="B401" t="s">
        <v>938</v>
      </c>
      <c r="C401" s="99" t="str">
        <f>IFERROR(VLOOKUP(실험지시[[#This Row],[제품명]],BOM_개발품목[[제품명]:[사양]],5,0),"")</f>
        <v>M251187_01</v>
      </c>
      <c r="D401" s="112" t="str">
        <f>IFERROR(VLOOKUP(실험지시[[#This Row],[제품명]],BOM_개발품목[[제품명]:[사양]],4,0),"")</f>
        <v>SI1618</v>
      </c>
      <c r="E401" s="1">
        <v>46183</v>
      </c>
      <c r="F401" t="s">
        <v>74</v>
      </c>
      <c r="G401" s="1" t="s">
        <v>157</v>
      </c>
      <c r="H401" t="s">
        <v>501</v>
      </c>
      <c r="I401" s="3">
        <v>6</v>
      </c>
      <c r="J401" s="46">
        <v>17</v>
      </c>
      <c r="K401" s="74">
        <v>250725</v>
      </c>
      <c r="L401" s="129" t="str">
        <f>실험지시[[#This Row],[금형코드]]</f>
        <v>M251187_01</v>
      </c>
      <c r="M401" s="131" t="str">
        <f>IFERROR(VLOOKUP($A401,[5]실험의뢰_장진영!$A:$M,5,0),"")</f>
        <v/>
      </c>
      <c r="N401" s="104" t="str">
        <f>IFERROR(VLOOKUP($A401,[5]실험의뢰_장진영!$A:$M,4,0),"")</f>
        <v/>
      </c>
      <c r="O401" s="132" t="str">
        <f>IFERROR(VLOOKUP($A401,[5]실험의뢰_장진영!$A:$M,6,0),"")</f>
        <v/>
      </c>
      <c r="P401" s="99" t="str">
        <f>IFERROR(VLOOKUP(실험지시[[#This Row],[제품명]],BOM_개발품목[[제품명]:[사양]],7,0),"")</f>
        <v>PP (롯데케미칼 J-560S)</v>
      </c>
      <c r="Q401" s="104" t="str">
        <f>IFERROR(VLOOKUP($A401,[5]실험의뢰_장진영!$A:$M,11,0),"")</f>
        <v/>
      </c>
      <c r="R401" s="104" t="str">
        <f>IFERROR(VLOOKUP($A401,[5]실험의뢰_장진영!$A:$M,12,0),"")</f>
        <v/>
      </c>
      <c r="S401" s="104" t="str">
        <f>IFERROR(VLOOKUP($A401,[5]실험의뢰_장진영!$A:$M,13,0),"")</f>
        <v/>
      </c>
      <c r="T401" s="58"/>
    </row>
    <row r="402" spans="1:20" ht="30" customHeight="1">
      <c r="A402" s="99" t="str">
        <f>실험지시[[#This Row],[품목코드]] &amp; "_" &amp; TEXT(실험지시[[#This Row],[실험지시일자]], "yyyymmdd")</f>
        <v>SI1678_20260611</v>
      </c>
      <c r="B402" t="s">
        <v>1809</v>
      </c>
      <c r="C402" s="99" t="str">
        <f>IFERROR(VLOOKUP(실험지시[[#This Row],[제품명]],BOM_개발품목[[제품명]:[사양]],5,0),"")</f>
        <v>M261008_01</v>
      </c>
      <c r="D402" s="112" t="str">
        <f>IFERROR(VLOOKUP(실험지시[[#This Row],[제품명]],BOM_개발품목[[제품명]:[사양]],4,0),"")</f>
        <v>SI1678</v>
      </c>
      <c r="E402" s="1">
        <v>46184</v>
      </c>
      <c r="F402" t="s">
        <v>74</v>
      </c>
      <c r="G402" s="1" t="s">
        <v>499</v>
      </c>
      <c r="H402" t="s">
        <v>1818</v>
      </c>
      <c r="I402" s="3">
        <v>5</v>
      </c>
      <c r="J402" s="46">
        <v>23</v>
      </c>
      <c r="L402" s="129" t="str">
        <f>실험지시[[#This Row],[금형코드]]</f>
        <v>M261008_01</v>
      </c>
      <c r="M402" s="131" t="str">
        <f>IFERROR(VLOOKUP($A402,[5]실험의뢰_장진영!$A:$M,5,0),"")</f>
        <v/>
      </c>
      <c r="N402" s="104" t="str">
        <f>IFERROR(VLOOKUP($A402,[5]실험의뢰_장진영!$A:$M,4,0),"")</f>
        <v/>
      </c>
      <c r="O402" s="132" t="str">
        <f>IFERROR(VLOOKUP($A402,[5]실험의뢰_장진영!$A:$M,6,0),"")</f>
        <v/>
      </c>
      <c r="P402" s="99" t="str">
        <f>IFERROR(VLOOKUP(실험지시[[#This Row],[제품명]],BOM_개발품목[[제품명]:[사양]],7,0),"")</f>
        <v>ABS (롯데첨단소재 MP-0670)</v>
      </c>
      <c r="Q402" s="104" t="str">
        <f>IFERROR(VLOOKUP($A402,[5]실험의뢰_장진영!$A:$M,11,0),"")</f>
        <v/>
      </c>
      <c r="R402" s="104" t="str">
        <f>IFERROR(VLOOKUP($A402,[5]실험의뢰_장진영!$A:$M,12,0),"")</f>
        <v/>
      </c>
      <c r="S402" s="104" t="str">
        <f>IFERROR(VLOOKUP($A402,[5]실험의뢰_장진영!$A:$M,13,0),"")</f>
        <v/>
      </c>
      <c r="T402" s="58"/>
    </row>
    <row r="403" spans="1:20" ht="30" customHeight="1">
      <c r="A403" s="99" t="str">
        <f>실험지시[[#This Row],[품목코드]] &amp; "_" &amp; TEXT(실험지시[[#This Row],[실험지시일자]], "yyyymmdd")</f>
        <v>SI1679_20260611</v>
      </c>
      <c r="B403" t="s">
        <v>1815</v>
      </c>
      <c r="C403" s="99" t="str">
        <f>IFERROR(VLOOKUP(실험지시[[#This Row],[제품명]],BOM_개발품목[[제품명]:[사양]],5,0),"")</f>
        <v>M261009_01</v>
      </c>
      <c r="D403" s="112" t="str">
        <f>IFERROR(VLOOKUP(실험지시[[#This Row],[제품명]],BOM_개발품목[[제품명]:[사양]],4,0),"")</f>
        <v>SI1679</v>
      </c>
      <c r="E403" s="1">
        <v>46184</v>
      </c>
      <c r="F403" t="s">
        <v>74</v>
      </c>
      <c r="G403" s="1" t="s">
        <v>499</v>
      </c>
      <c r="H403" t="s">
        <v>1834</v>
      </c>
      <c r="I403" s="3">
        <v>5</v>
      </c>
      <c r="J403" s="46">
        <v>23</v>
      </c>
      <c r="L403" s="129" t="str">
        <f>실험지시[[#This Row],[금형코드]]</f>
        <v>M261009_01</v>
      </c>
      <c r="M403" s="131" t="str">
        <f>IFERROR(VLOOKUP($A403,[5]실험의뢰_장진영!$A:$M,5,0),"")</f>
        <v/>
      </c>
      <c r="N403" s="104" t="str">
        <f>IFERROR(VLOOKUP($A403,[5]실험의뢰_장진영!$A:$M,4,0),"")</f>
        <v/>
      </c>
      <c r="O403" s="132" t="str">
        <f>IFERROR(VLOOKUP($A403,[5]실험의뢰_장진영!$A:$M,6,0),"")</f>
        <v/>
      </c>
      <c r="P403" s="99" t="str">
        <f>IFERROR(VLOOKUP(실험지시[[#This Row],[제품명]],BOM_개발품목[[제품명]:[사양]],7,0),"")</f>
        <v>ABS (롯데첨단소재 MP-0670)</v>
      </c>
      <c r="Q403" s="104" t="str">
        <f>IFERROR(VLOOKUP($A403,[5]실험의뢰_장진영!$A:$M,11,0),"")</f>
        <v/>
      </c>
      <c r="R403" s="104" t="str">
        <f>IFERROR(VLOOKUP($A403,[5]실험의뢰_장진영!$A:$M,12,0),"")</f>
        <v/>
      </c>
      <c r="S403" s="104" t="str">
        <f>IFERROR(VLOOKUP($A403,[5]실험의뢰_장진영!$A:$M,13,0),"")</f>
        <v/>
      </c>
      <c r="T403" s="58"/>
    </row>
    <row r="404" spans="1:20" ht="30" customHeight="1">
      <c r="A404" s="99" t="str">
        <f>실험지시[[#This Row],[품목코드]] &amp; "_" &amp; TEXT(실험지시[[#This Row],[실험지시일자]], "yyyymmdd")</f>
        <v>SI1614_20260622</v>
      </c>
      <c r="B404" t="s">
        <v>934</v>
      </c>
      <c r="C404" s="99" t="str">
        <f>IFERROR(VLOOKUP(실험지시[[#This Row],[제품명]],BOM_개발품목[[제품명]:[사양]],5,0),"")</f>
        <v>M251184_01</v>
      </c>
      <c r="D404" s="112" t="str">
        <f>IFERROR(VLOOKUP(실험지시[[#This Row],[제품명]],BOM_개발품목[[제품명]:[사양]],4,0),"")</f>
        <v>SI1614</v>
      </c>
      <c r="E404" s="1">
        <v>46195</v>
      </c>
      <c r="F404" t="s">
        <v>74</v>
      </c>
      <c r="G404" s="1" t="s">
        <v>341</v>
      </c>
      <c r="H404" t="s">
        <v>1837</v>
      </c>
      <c r="I404" s="3">
        <v>5</v>
      </c>
      <c r="J404" s="46">
        <v>17</v>
      </c>
      <c r="K404" s="74">
        <v>250725</v>
      </c>
      <c r="L404" s="129" t="str">
        <f>실험지시[[#This Row],[금형코드]]</f>
        <v>M251184_01</v>
      </c>
      <c r="M404" s="131" t="str">
        <f>IFERROR(VLOOKUP($A404,[5]실험의뢰_장진영!$A:$M,5,0),"")</f>
        <v/>
      </c>
      <c r="N404" s="104" t="str">
        <f>IFERROR(VLOOKUP($A404,[5]실험의뢰_장진영!$A:$M,4,0),"")</f>
        <v/>
      </c>
      <c r="O404" s="132" t="str">
        <f>IFERROR(VLOOKUP($A404,[5]실험의뢰_장진영!$A:$M,6,0),"")</f>
        <v/>
      </c>
      <c r="P404" s="99" t="str">
        <f>IFERROR(VLOOKUP(실험지시[[#This Row],[제품명]],BOM_개발품목[[제품명]:[사양]],7,0),"")</f>
        <v>PP (대한유화 4017) (30%)
PP (다원소재 DW-2360) (70%)</v>
      </c>
      <c r="Q404" s="104" t="str">
        <f>IFERROR(VLOOKUP($A404,[5]실험의뢰_장진영!$A:$M,11,0),"")</f>
        <v/>
      </c>
      <c r="R404" s="104" t="str">
        <f>IFERROR(VLOOKUP($A404,[5]실험의뢰_장진영!$A:$M,12,0),"")</f>
        <v/>
      </c>
      <c r="S404" s="104" t="str">
        <f>IFERROR(VLOOKUP($A404,[5]실험의뢰_장진영!$A:$M,13,0),"")</f>
        <v/>
      </c>
      <c r="T404" s="58"/>
    </row>
    <row r="405" spans="1:20" ht="30" customHeight="1">
      <c r="A405" s="99" t="str">
        <f>실험지시[[#This Row],[품목코드]] &amp; "_" &amp; TEXT(실험지시[[#This Row],[실험지시일자]], "yyyymmdd")</f>
        <v>SI1619_20260610</v>
      </c>
      <c r="B405" t="s">
        <v>939</v>
      </c>
      <c r="C405" s="99" t="str">
        <f>IFERROR(VLOOKUP(실험지시[[#This Row],[제품명]],BOM_개발품목[[제품명]:[사양]],5,0),"")</f>
        <v>M251189_01</v>
      </c>
      <c r="D405" s="112" t="str">
        <f>IFERROR(VLOOKUP(실험지시[[#This Row],[제품명]],BOM_개발품목[[제품명]:[사양]],4,0),"")</f>
        <v>SI1619</v>
      </c>
      <c r="E405" s="1">
        <v>46183</v>
      </c>
      <c r="F405" t="s">
        <v>74</v>
      </c>
      <c r="G405" s="1" t="s">
        <v>487</v>
      </c>
      <c r="H405" t="s">
        <v>488</v>
      </c>
      <c r="I405" s="3">
        <v>2</v>
      </c>
      <c r="J405" s="46">
        <v>17</v>
      </c>
      <c r="K405" s="74">
        <v>250725</v>
      </c>
      <c r="L405" s="129" t="str">
        <f>실험지시[[#This Row],[금형코드]]</f>
        <v>M251189_01</v>
      </c>
      <c r="M405" s="131" t="str">
        <f>IFERROR(VLOOKUP($A405,[5]실험의뢰_장진영!$A:$M,5,0),"")</f>
        <v/>
      </c>
      <c r="N405" s="104" t="str">
        <f>IFERROR(VLOOKUP($A405,[5]실험의뢰_장진영!$A:$M,4,0),"")</f>
        <v/>
      </c>
      <c r="O405" s="132" t="str">
        <f>IFERROR(VLOOKUP($A405,[5]실험의뢰_장진영!$A:$M,6,0),"")</f>
        <v/>
      </c>
      <c r="P405" s="99" t="str">
        <f>IFERROR(VLOOKUP(실험지시[[#This Row],[제품명]],BOM_개발품목[[제품명]:[사양]],7,0),"")</f>
        <v>PETG (SK케미칼 PN200)</v>
      </c>
      <c r="Q405" s="104" t="str">
        <f>IFERROR(VLOOKUP($A405,[5]실험의뢰_장진영!$A:$M,11,0),"")</f>
        <v/>
      </c>
      <c r="R405" s="104" t="str">
        <f>IFERROR(VLOOKUP($A405,[5]실험의뢰_장진영!$A:$M,12,0),"")</f>
        <v/>
      </c>
      <c r="S405" s="104" t="str">
        <f>IFERROR(VLOOKUP($A405,[5]실험의뢰_장진영!$A:$M,13,0),"")</f>
        <v/>
      </c>
      <c r="T405" s="58"/>
    </row>
    <row r="406" spans="1:20" ht="30" customHeight="1">
      <c r="A406" s="99" t="str">
        <f>실험지시[[#This Row],[품목코드]] &amp; "_" &amp; TEXT(실험지시[[#This Row],[실험지시일자]], "yyyymmdd")</f>
        <v>SI1615_20260618</v>
      </c>
      <c r="B406" t="s">
        <v>935</v>
      </c>
      <c r="C406" s="99" t="str">
        <f>IFERROR(VLOOKUP(실험지시[[#This Row],[제품명]],BOM_개발품목[[제품명]:[사양]],5,0),"")</f>
        <v>M251185_01</v>
      </c>
      <c r="D406" s="112" t="str">
        <f>IFERROR(VLOOKUP(실험지시[[#This Row],[제품명]],BOM_개발품목[[제품명]:[사양]],4,0),"")</f>
        <v>SI1615</v>
      </c>
      <c r="E406" s="1">
        <v>46191</v>
      </c>
      <c r="F406" t="s">
        <v>74</v>
      </c>
      <c r="G406" s="1" t="s">
        <v>164</v>
      </c>
      <c r="H406" t="s">
        <v>1835</v>
      </c>
      <c r="I406" s="3">
        <v>5</v>
      </c>
      <c r="J406" s="46">
        <v>13</v>
      </c>
      <c r="K406" s="74">
        <v>250725</v>
      </c>
      <c r="L406" s="129" t="str">
        <f>실험지시[[#This Row],[금형코드]]</f>
        <v>M251185_01</v>
      </c>
      <c r="M406" s="131" t="str">
        <f>IFERROR(VLOOKUP($A406,[5]실험의뢰_장진영!$A:$M,5,0),"")</f>
        <v/>
      </c>
      <c r="N406" s="104" t="str">
        <f>IFERROR(VLOOKUP($A406,[5]실험의뢰_장진영!$A:$M,4,0),"")</f>
        <v/>
      </c>
      <c r="O406" s="132" t="str">
        <f>IFERROR(VLOOKUP($A406,[5]실험의뢰_장진영!$A:$M,6,0),"")</f>
        <v/>
      </c>
      <c r="P406" s="99" t="str">
        <f>IFERROR(VLOOKUP(실험지시[[#This Row],[제품명]],BOM_개발품목[[제품명]:[사양]],7,0),"")</f>
        <v>ABS (롯데첨단소재 MP-0670)</v>
      </c>
      <c r="Q406" s="104" t="str">
        <f>IFERROR(VLOOKUP($A406,[5]실험의뢰_장진영!$A:$M,11,0),"")</f>
        <v/>
      </c>
      <c r="R406" s="104" t="str">
        <f>IFERROR(VLOOKUP($A406,[5]실험의뢰_장진영!$A:$M,12,0),"")</f>
        <v/>
      </c>
      <c r="S406" s="104" t="str">
        <f>IFERROR(VLOOKUP($A406,[5]실험의뢰_장진영!$A:$M,13,0),"")</f>
        <v/>
      </c>
      <c r="T406" s="58"/>
    </row>
    <row r="407" spans="1:20" ht="30" customHeight="1">
      <c r="A407" s="99" t="str">
        <f>실험지시[[#This Row],[품목코드]] &amp; "_" &amp; TEXT(실험지시[[#This Row],[실험지시일자]], "yyyymmdd")</f>
        <v>SI1623_20260619</v>
      </c>
      <c r="B407" t="s">
        <v>943</v>
      </c>
      <c r="C407" s="99" t="str">
        <f>IFERROR(VLOOKUP(실험지시[[#This Row],[제품명]],BOM_개발품목[[제품명]:[사양]],5,0),"")</f>
        <v>M251217_01</v>
      </c>
      <c r="D407" s="112" t="str">
        <f>IFERROR(VLOOKUP(실험지시[[#This Row],[제품명]],BOM_개발품목[[제품명]:[사양]],4,0),"")</f>
        <v>SI1623</v>
      </c>
      <c r="E407" s="1">
        <v>46192</v>
      </c>
      <c r="F407" t="s">
        <v>74</v>
      </c>
      <c r="G407" s="1" t="s">
        <v>487</v>
      </c>
      <c r="H407" t="s">
        <v>1836</v>
      </c>
      <c r="I407" s="3">
        <v>3</v>
      </c>
      <c r="J407" s="46">
        <v>13</v>
      </c>
      <c r="K407" s="74">
        <v>250704</v>
      </c>
      <c r="L407" s="129" t="str">
        <f>실험지시[[#This Row],[금형코드]]</f>
        <v>M251217_01</v>
      </c>
      <c r="M407" s="131" t="str">
        <f>IFERROR(VLOOKUP($A407,[5]실험의뢰_장진영!$A:$M,5,0),"")</f>
        <v/>
      </c>
      <c r="N407" s="104" t="str">
        <f>IFERROR(VLOOKUP($A407,[5]실험의뢰_장진영!$A:$M,4,0),"")</f>
        <v/>
      </c>
      <c r="O407" s="132" t="str">
        <f>IFERROR(VLOOKUP($A407,[5]실험의뢰_장진영!$A:$M,6,0),"")</f>
        <v/>
      </c>
      <c r="P407" s="99" t="str">
        <f>IFERROR(VLOOKUP(실험지시[[#This Row],[제품명]],BOM_개발품목[[제품명]:[사양]],7,0),"")</f>
        <v>PETG (SK케미칼 PN200)</v>
      </c>
      <c r="Q407" s="104" t="str">
        <f>IFERROR(VLOOKUP($A407,[5]실험의뢰_장진영!$A:$M,11,0),"")</f>
        <v/>
      </c>
      <c r="R407" s="104" t="str">
        <f>IFERROR(VLOOKUP($A407,[5]실험의뢰_장진영!$A:$M,12,0),"")</f>
        <v/>
      </c>
      <c r="S407" s="104" t="str">
        <f>IFERROR(VLOOKUP($A407,[5]실험의뢰_장진영!$A:$M,13,0),"")</f>
        <v/>
      </c>
      <c r="T407" s="58"/>
    </row>
    <row r="408" spans="1:20" ht="30" customHeight="1">
      <c r="A408" s="99" t="str">
        <f>실험지시[[#This Row],[품목코드]] &amp; "_" &amp; TEXT(실험지시[[#This Row],[실험지시일자]], "yyyymmdd")</f>
        <v>SI1619_20260625</v>
      </c>
      <c r="B408" t="s">
        <v>939</v>
      </c>
      <c r="C408" s="99" t="str">
        <f>IFERROR(VLOOKUP(실험지시[[#This Row],[제품명]],BOM_개발품목[[제품명]:[사양]],5,0),"")</f>
        <v>M251189_01</v>
      </c>
      <c r="D408" s="112" t="str">
        <f>IFERROR(VLOOKUP(실험지시[[#This Row],[제품명]],BOM_개발품목[[제품명]:[사양]],4,0),"")</f>
        <v>SI1619</v>
      </c>
      <c r="E408" s="1">
        <v>46198</v>
      </c>
      <c r="F408" t="s">
        <v>114</v>
      </c>
      <c r="G408" s="1" t="s">
        <v>487</v>
      </c>
      <c r="H408" t="s">
        <v>1836</v>
      </c>
      <c r="I408" s="3" t="s">
        <v>1838</v>
      </c>
      <c r="J408" s="46">
        <v>15</v>
      </c>
      <c r="L408" s="129" t="str">
        <f>실험지시[[#This Row],[금형코드]]</f>
        <v>M251189_01</v>
      </c>
      <c r="M408" s="131" t="str">
        <f>IFERROR(VLOOKUP($A408,[5]실험의뢰_장진영!$A:$M,5,0),"")</f>
        <v/>
      </c>
      <c r="N408" s="104" t="s">
        <v>1840</v>
      </c>
      <c r="O408" s="132" t="str">
        <f>IFERROR(VLOOKUP($A408,[5]실험의뢰_장진영!$A:$M,6,0),"")</f>
        <v/>
      </c>
      <c r="P408" s="99" t="str">
        <f>IFERROR(VLOOKUP(실험지시[[#This Row],[제품명]],BOM_개발품목[[제품명]:[사양]],7,0),"")</f>
        <v>PETG (SK케미칼 PN200)</v>
      </c>
      <c r="Q408" s="104" t="str">
        <f>IFERROR(VLOOKUP($A408,[5]실험의뢰_장진영!$A:$M,11,0),"")</f>
        <v/>
      </c>
      <c r="R408" s="104" t="str">
        <f>IFERROR(VLOOKUP($A408,[5]실험의뢰_장진영!$A:$M,12,0),"")</f>
        <v/>
      </c>
      <c r="S408" s="104" t="str">
        <f>IFERROR(VLOOKUP($A408,[5]실험의뢰_장진영!$A:$M,13,0),"")</f>
        <v/>
      </c>
      <c r="T408" s="58"/>
    </row>
    <row r="409" spans="1:20" ht="30" customHeight="1">
      <c r="A409" s="99" t="str">
        <f>실험지시[[#This Row],[품목코드]] &amp; "_" &amp; TEXT(실험지시[[#This Row],[실험지시일자]], "yyyymmdd")</f>
        <v>SI1618_20260629</v>
      </c>
      <c r="B409" t="s">
        <v>938</v>
      </c>
      <c r="C409" s="99" t="str">
        <f>IFERROR(VLOOKUP(실험지시[[#This Row],[제품명]],BOM_개발품목[[제품명]:[사양]],5,0),"")</f>
        <v>M251187_01</v>
      </c>
      <c r="D409" s="112" t="str">
        <f>IFERROR(VLOOKUP(실험지시[[#This Row],[제품명]],BOM_개발품목[[제품명]:[사양]],4,0),"")</f>
        <v>SI1618</v>
      </c>
      <c r="E409" s="1">
        <v>46202</v>
      </c>
      <c r="F409" t="s">
        <v>161</v>
      </c>
      <c r="G409" s="1" t="s">
        <v>157</v>
      </c>
      <c r="H409" t="s">
        <v>1841</v>
      </c>
      <c r="I409" s="3" t="s">
        <v>1838</v>
      </c>
      <c r="J409" s="46">
        <v>15</v>
      </c>
      <c r="K409" s="74">
        <v>250725</v>
      </c>
      <c r="L409" s="129" t="str">
        <f>실험지시[[#This Row],[금형코드]]</f>
        <v>M251187_01</v>
      </c>
      <c r="M409" s="131" t="str">
        <f>IFERROR(VLOOKUP($A409,[5]실험의뢰_장진영!$A:$M,5,0),"")</f>
        <v/>
      </c>
      <c r="N409" s="104" t="str">
        <f>IFERROR(VLOOKUP($A409,[5]실험의뢰_장진영!$A:$M,4,0),"")</f>
        <v/>
      </c>
      <c r="O409" s="132" t="str">
        <f>IFERROR(VLOOKUP($A409,[5]실험의뢰_장진영!$A:$M,6,0),"")</f>
        <v/>
      </c>
      <c r="P409" s="99" t="str">
        <f>IFERROR(VLOOKUP(실험지시[[#This Row],[제품명]],BOM_개발품목[[제품명]:[사양]],7,0),"")</f>
        <v>PP (롯데케미칼 J-560S)</v>
      </c>
      <c r="Q409" s="104" t="str">
        <f>IFERROR(VLOOKUP($A409,[5]실험의뢰_장진영!$A:$M,11,0),"")</f>
        <v/>
      </c>
      <c r="R409" s="104" t="str">
        <f>IFERROR(VLOOKUP($A409,[5]실험의뢰_장진영!$A:$M,12,0),"")</f>
        <v/>
      </c>
      <c r="S409" s="104" t="str">
        <f>IFERROR(VLOOKUP($A409,[5]실험의뢰_장진영!$A:$M,13,0),"")</f>
        <v/>
      </c>
      <c r="T409" s="58"/>
    </row>
    <row r="410" spans="1:20" ht="30" customHeight="1">
      <c r="A410" s="99" t="str">
        <f>실험지시[[#This Row],[품목코드]] &amp; "_" &amp; TEXT(실험지시[[#This Row],[실험지시일자]], "yyyymmdd")</f>
        <v>SI1617_20260629</v>
      </c>
      <c r="B410" t="s">
        <v>937</v>
      </c>
      <c r="C410" s="99" t="str">
        <f>IFERROR(VLOOKUP(실험지시[[#This Row],[제품명]],BOM_개발품목[[제품명]:[사양]],5,0),"")</f>
        <v>M251188_01</v>
      </c>
      <c r="D410" s="112" t="str">
        <f>IFERROR(VLOOKUP(실험지시[[#This Row],[제품명]],BOM_개발품목[[제품명]:[사양]],4,0),"")</f>
        <v>SI1617</v>
      </c>
      <c r="E410" s="1">
        <v>46202</v>
      </c>
      <c r="F410" t="s">
        <v>161</v>
      </c>
      <c r="G410" s="1" t="s">
        <v>499</v>
      </c>
      <c r="H410" t="s">
        <v>1670</v>
      </c>
      <c r="I410" s="3">
        <v>6</v>
      </c>
      <c r="J410" s="46">
        <v>15</v>
      </c>
      <c r="K410" s="74">
        <v>250725</v>
      </c>
      <c r="L410" s="129" t="str">
        <f>실험지시[[#This Row],[금형코드]]</f>
        <v>M251188_01</v>
      </c>
      <c r="M410" s="131" t="str">
        <f>IFERROR(VLOOKUP($A410,[5]실험의뢰_장진영!$A:$M,5,0),"")</f>
        <v/>
      </c>
      <c r="N410" s="104" t="str">
        <f>IFERROR(VLOOKUP($A410,[5]실험의뢰_장진영!$A:$M,4,0),"")</f>
        <v/>
      </c>
      <c r="O410" s="132" t="str">
        <f>IFERROR(VLOOKUP($A410,[5]실험의뢰_장진영!$A:$M,6,0),"")</f>
        <v/>
      </c>
      <c r="P410" s="99" t="str">
        <f>IFERROR(VLOOKUP(실험지시[[#This Row],[제품명]],BOM_개발품목[[제품명]:[사양]],7,0),"")</f>
        <v>ABS (롯데첨단소재 MP-0670)</v>
      </c>
      <c r="Q410" s="104" t="str">
        <f>IFERROR(VLOOKUP($A410,[5]실험의뢰_장진영!$A:$M,11,0),"")</f>
        <v/>
      </c>
      <c r="R410" s="104" t="str">
        <f>IFERROR(VLOOKUP($A410,[5]실험의뢰_장진영!$A:$M,12,0),"")</f>
        <v/>
      </c>
      <c r="S410" s="104" t="str">
        <f>IFERROR(VLOOKUP($A410,[5]실험의뢰_장진영!$A:$M,13,0),"")</f>
        <v/>
      </c>
      <c r="T410" s="58"/>
    </row>
    <row r="411" spans="1:20" ht="30" customHeight="1">
      <c r="A411" s="99" t="str">
        <f>실험지시[[#This Row],[품목코드]] &amp; "_" &amp; TEXT(실험지시[[#This Row],[실험지시일자]], "yyyymmdd")</f>
        <v>SI1618_20260707</v>
      </c>
      <c r="B411" t="s">
        <v>938</v>
      </c>
      <c r="C411" s="99" t="str">
        <f>IFERROR(VLOOKUP(실험지시[[#This Row],[제품명]],BOM_개발품목[[제품명]:[사양]],5,0),"")</f>
        <v>M251187_01</v>
      </c>
      <c r="D411" s="112" t="str">
        <f>IFERROR(VLOOKUP(실험지시[[#This Row],[제품명]],BOM_개발품목[[제품명]:[사양]],4,0),"")</f>
        <v>SI1618</v>
      </c>
      <c r="E411" s="1">
        <v>46210</v>
      </c>
      <c r="F411" t="s">
        <v>114</v>
      </c>
      <c r="G411" s="1" t="s">
        <v>157</v>
      </c>
      <c r="H411" t="s">
        <v>501</v>
      </c>
      <c r="I411" s="3">
        <v>6</v>
      </c>
      <c r="J411" s="46">
        <v>26</v>
      </c>
      <c r="K411" s="74">
        <v>250725</v>
      </c>
      <c r="L411" s="129" t="str">
        <f>실험지시[[#This Row],[금형코드]]</f>
        <v>M251187_01</v>
      </c>
      <c r="M411" s="131" t="str">
        <f>IFERROR(VLOOKUP($A411,[5]실험의뢰_장진영!$A:$M,5,0),"")</f>
        <v/>
      </c>
      <c r="N411" s="104" t="str">
        <f>IFERROR(VLOOKUP($A411,[5]실험의뢰_장진영!$A:$M,4,0),"")</f>
        <v/>
      </c>
      <c r="O411" s="132" t="str">
        <f>IFERROR(VLOOKUP($A411,[5]실험의뢰_장진영!$A:$M,6,0),"")</f>
        <v/>
      </c>
      <c r="P411" s="99" t="str">
        <f>IFERROR(VLOOKUP(실험지시[[#This Row],[제품명]],BOM_개발품목[[제품명]:[사양]],7,0),"")</f>
        <v>PP (롯데케미칼 J-560S)</v>
      </c>
      <c r="Q411" s="104" t="str">
        <f>IFERROR(VLOOKUP($A411,[5]실험의뢰_장진영!$A:$M,11,0),"")</f>
        <v/>
      </c>
      <c r="R411" s="104" t="str">
        <f>IFERROR(VLOOKUP($A411,[5]실험의뢰_장진영!$A:$M,12,0),"")</f>
        <v/>
      </c>
      <c r="S411" s="104" t="str">
        <f>IFERROR(VLOOKUP($A411,[5]실험의뢰_장진영!$A:$M,13,0),"")</f>
        <v/>
      </c>
      <c r="T411" s="58"/>
    </row>
    <row r="412" spans="1:20" ht="30" customHeight="1">
      <c r="A412" s="99" t="str">
        <f>실험지시[[#This Row],[품목코드]] &amp; "_" &amp; TEXT(실험지시[[#This Row],[실험지시일자]], "yyyymmdd")</f>
        <v>SI1615_20260707</v>
      </c>
      <c r="B412" t="s">
        <v>935</v>
      </c>
      <c r="C412" s="99" t="str">
        <f>IFERROR(VLOOKUP(실험지시[[#This Row],[제품명]],BOM_개발품목[[제품명]:[사양]],5,0),"")</f>
        <v>M251185_01</v>
      </c>
      <c r="D412" s="112" t="str">
        <f>IFERROR(VLOOKUP(실험지시[[#This Row],[제품명]],BOM_개발품목[[제품명]:[사양]],4,0),"")</f>
        <v>SI1615</v>
      </c>
      <c r="E412" s="1">
        <v>46210</v>
      </c>
      <c r="F412" t="s">
        <v>161</v>
      </c>
      <c r="G412" s="1" t="s">
        <v>164</v>
      </c>
      <c r="H412" t="s">
        <v>1835</v>
      </c>
      <c r="I412" s="3">
        <v>5</v>
      </c>
      <c r="J412" s="46">
        <v>17</v>
      </c>
      <c r="K412" s="74">
        <v>250725</v>
      </c>
      <c r="L412" s="129" t="str">
        <f>실험지시[[#This Row],[금형코드]]</f>
        <v>M251185_01</v>
      </c>
      <c r="M412" s="131" t="str">
        <f>IFERROR(VLOOKUP($A412,[5]실험의뢰_장진영!$A:$M,5,0),"")</f>
        <v/>
      </c>
      <c r="N412" s="104" t="str">
        <f>IFERROR(VLOOKUP($A412,[5]실험의뢰_장진영!$A:$M,4,0),"")</f>
        <v/>
      </c>
      <c r="O412" s="132" t="str">
        <f>IFERROR(VLOOKUP($A412,[5]실험의뢰_장진영!$A:$M,6,0),"")</f>
        <v/>
      </c>
      <c r="P412" s="99" t="str">
        <f>IFERROR(VLOOKUP(실험지시[[#This Row],[제품명]],BOM_개발품목[[제품명]:[사양]],7,0),"")</f>
        <v>ABS (롯데첨단소재 MP-0670)</v>
      </c>
      <c r="Q412" s="104" t="str">
        <f>IFERROR(VLOOKUP($A412,[5]실험의뢰_장진영!$A:$M,11,0),"")</f>
        <v/>
      </c>
      <c r="R412" s="104" t="str">
        <f>IFERROR(VLOOKUP($A412,[5]실험의뢰_장진영!$A:$M,12,0),"")</f>
        <v/>
      </c>
      <c r="S412" s="104" t="str">
        <f>IFERROR(VLOOKUP($A412,[5]실험의뢰_장진영!$A:$M,13,0),"")</f>
        <v/>
      </c>
      <c r="T412" s="58"/>
    </row>
    <row r="413" spans="1:20" ht="30" customHeight="1">
      <c r="A413" s="99" t="str">
        <f>실험지시[[#This Row],[품목코드]] &amp; "_" &amp; TEXT(실험지시[[#This Row],[실험지시일자]], "yyyymmdd")</f>
        <v>SI1621_20260707</v>
      </c>
      <c r="B413" t="s">
        <v>941</v>
      </c>
      <c r="C413" s="99" t="str">
        <f>IFERROR(VLOOKUP(실험지시[[#This Row],[제품명]],BOM_개발품목[[제품명]:[사양]],5,0),"")</f>
        <v>M251191_01</v>
      </c>
      <c r="D413" s="112" t="str">
        <f>IFERROR(VLOOKUP(실험지시[[#This Row],[제품명]],BOM_개발품목[[제품명]:[사양]],4,0),"")</f>
        <v>SI1621</v>
      </c>
      <c r="E413" s="1">
        <v>46210</v>
      </c>
      <c r="F413" t="s">
        <v>161</v>
      </c>
      <c r="G413" s="1" t="s">
        <v>499</v>
      </c>
      <c r="H413" t="s">
        <v>1670</v>
      </c>
      <c r="I413" s="3">
        <v>6</v>
      </c>
      <c r="J413" s="46">
        <v>17</v>
      </c>
      <c r="K413" s="74">
        <v>250801</v>
      </c>
      <c r="L413" s="129" t="str">
        <f>실험지시[[#This Row],[금형코드]]</f>
        <v>M251191_01</v>
      </c>
      <c r="M413" s="131" t="str">
        <f>IFERROR(VLOOKUP($A413,[5]실험의뢰_장진영!$A:$M,5,0),"")</f>
        <v/>
      </c>
      <c r="N413" s="104" t="str">
        <f>IFERROR(VLOOKUP($A413,[5]실험의뢰_장진영!$A:$M,4,0),"")</f>
        <v/>
      </c>
      <c r="O413" s="132" t="str">
        <f>IFERROR(VLOOKUP($A413,[5]실험의뢰_장진영!$A:$M,6,0),"")</f>
        <v/>
      </c>
      <c r="P413" s="99" t="str">
        <f>IFERROR(VLOOKUP(실험지시[[#This Row],[제품명]],BOM_개발품목[[제품명]:[사양]],7,0),"")</f>
        <v>ABS (롯데첨단소재 MP-0670)</v>
      </c>
      <c r="Q413" s="104" t="str">
        <f>IFERROR(VLOOKUP($A413,[5]실험의뢰_장진영!$A:$M,11,0),"")</f>
        <v/>
      </c>
      <c r="R413" s="104" t="str">
        <f>IFERROR(VLOOKUP($A413,[5]실험의뢰_장진영!$A:$M,12,0),"")</f>
        <v/>
      </c>
      <c r="S413" s="104" t="str">
        <f>IFERROR(VLOOKUP($A413,[5]실험의뢰_장진영!$A:$M,13,0),"")</f>
        <v/>
      </c>
      <c r="T413" s="58"/>
    </row>
    <row r="414" spans="1:20" ht="30" customHeight="1">
      <c r="A414" s="99" t="str">
        <f>실험지시[[#This Row],[품목코드]] &amp; "_" &amp; TEXT(실험지시[[#This Row],[실험지시일자]], "yyyymmdd")</f>
        <v>SI1620_20260708</v>
      </c>
      <c r="B414" t="s">
        <v>940</v>
      </c>
      <c r="C414" s="99" t="str">
        <f>IFERROR(VLOOKUP(실험지시[[#This Row],[제품명]],BOM_개발품목[[제품명]:[사양]],5,0),"")</f>
        <v>M251190_01</v>
      </c>
      <c r="D414" s="112" t="str">
        <f>IFERROR(VLOOKUP(실험지시[[#This Row],[제품명]],BOM_개발품목[[제품명]:[사양]],4,0),"")</f>
        <v>SI1620</v>
      </c>
      <c r="E414" s="1">
        <v>46211</v>
      </c>
      <c r="F414" t="s">
        <v>114</v>
      </c>
      <c r="G414" s="1" t="s">
        <v>499</v>
      </c>
      <c r="H414" t="s">
        <v>1670</v>
      </c>
      <c r="I414" s="3">
        <v>6</v>
      </c>
      <c r="J414" s="46">
        <v>17</v>
      </c>
      <c r="K414" s="74">
        <v>250801</v>
      </c>
      <c r="L414" s="129" t="str">
        <f>실험지시[[#This Row],[금형코드]]</f>
        <v>M251190_01</v>
      </c>
      <c r="M414" s="131" t="str">
        <f>IFERROR(VLOOKUP($A414,[5]실험의뢰_장진영!$A:$M,5,0),"")</f>
        <v/>
      </c>
      <c r="N414" s="104" t="str">
        <f>IFERROR(VLOOKUP($A414,[5]실험의뢰_장진영!$A:$M,4,0),"")</f>
        <v/>
      </c>
      <c r="O414" s="132" t="str">
        <f>IFERROR(VLOOKUP($A414,[5]실험의뢰_장진영!$A:$M,6,0),"")</f>
        <v/>
      </c>
      <c r="P414" s="99" t="str">
        <f>IFERROR(VLOOKUP(실험지시[[#This Row],[제품명]],BOM_개발품목[[제품명]:[사양]],7,0),"")</f>
        <v>ABS (롯데첨단소재 MP-0670)</v>
      </c>
      <c r="Q414" s="104" t="str">
        <f>IFERROR(VLOOKUP($A414,[5]실험의뢰_장진영!$A:$M,11,0),"")</f>
        <v/>
      </c>
      <c r="R414" s="104" t="str">
        <f>IFERROR(VLOOKUP($A414,[5]실험의뢰_장진영!$A:$M,12,0),"")</f>
        <v/>
      </c>
      <c r="S414" s="104" t="str">
        <f>IFERROR(VLOOKUP($A414,[5]실험의뢰_장진영!$A:$M,13,0),"")</f>
        <v/>
      </c>
      <c r="T414" s="58"/>
    </row>
    <row r="415" spans="1:20" ht="30" customHeight="1">
      <c r="A415" s="99" t="str">
        <f>실험지시[[#This Row],[품목코드]] &amp; "_" &amp; TEXT(실험지시[[#This Row],[실험지시일자]], "yyyymmdd")</f>
        <v>SI1678_20260708</v>
      </c>
      <c r="B415" t="s">
        <v>1809</v>
      </c>
      <c r="C415" s="99" t="str">
        <f>IFERROR(VLOOKUP(실험지시[[#This Row],[제품명]],BOM_개발품목[[제품명]:[사양]],5,0),"")</f>
        <v>M261008_01</v>
      </c>
      <c r="D415" s="112" t="str">
        <f>IFERROR(VLOOKUP(실험지시[[#This Row],[제품명]],BOM_개발품목[[제품명]:[사양]],4,0),"")</f>
        <v>SI1678</v>
      </c>
      <c r="E415" s="1">
        <v>46211</v>
      </c>
      <c r="F415" t="s">
        <v>114</v>
      </c>
      <c r="G415" s="1" t="s">
        <v>499</v>
      </c>
      <c r="H415" t="s">
        <v>1818</v>
      </c>
      <c r="I415" s="3">
        <v>5</v>
      </c>
      <c r="J415" s="46">
        <v>17</v>
      </c>
      <c r="L415" s="129" t="str">
        <f>실험지시[[#This Row],[금형코드]]</f>
        <v>M261008_01</v>
      </c>
      <c r="M415" s="131" t="str">
        <f>IFERROR(VLOOKUP($A415,[5]실험의뢰_장진영!$A:$M,5,0),"")</f>
        <v/>
      </c>
      <c r="N415" s="104" t="str">
        <f>IFERROR(VLOOKUP($A415,[5]실험의뢰_장진영!$A:$M,4,0),"")</f>
        <v/>
      </c>
      <c r="O415" s="132" t="str">
        <f>IFERROR(VLOOKUP($A415,[5]실험의뢰_장진영!$A:$M,6,0),"")</f>
        <v/>
      </c>
      <c r="P415" s="99" t="str">
        <f>IFERROR(VLOOKUP(실험지시[[#This Row],[제품명]],BOM_개발품목[[제품명]:[사양]],7,0),"")</f>
        <v>ABS (롯데첨단소재 MP-0670)</v>
      </c>
      <c r="Q415" s="104" t="str">
        <f>IFERROR(VLOOKUP($A415,[5]실험의뢰_장진영!$A:$M,11,0),"")</f>
        <v/>
      </c>
      <c r="R415" s="104" t="str">
        <f>IFERROR(VLOOKUP($A415,[5]실험의뢰_장진영!$A:$M,12,0),"")</f>
        <v/>
      </c>
      <c r="S415" s="104" t="str">
        <f>IFERROR(VLOOKUP($A415,[5]실험의뢰_장진영!$A:$M,13,0),"")</f>
        <v/>
      </c>
      <c r="T415" s="58"/>
    </row>
    <row r="416" spans="1:20" ht="30" customHeight="1">
      <c r="A416" s="99" t="str">
        <f>실험지시[[#This Row],[품목코드]] &amp; "_" &amp; TEXT(실험지시[[#This Row],[실험지시일자]], "yyyymmdd")</f>
        <v>SI1679_20260708</v>
      </c>
      <c r="B416" t="s">
        <v>1815</v>
      </c>
      <c r="C416" s="99" t="str">
        <f>IFERROR(VLOOKUP(실험지시[[#This Row],[제품명]],BOM_개발품목[[제품명]:[사양]],5,0),"")</f>
        <v>M261009_01</v>
      </c>
      <c r="D416" s="112" t="str">
        <f>IFERROR(VLOOKUP(실험지시[[#This Row],[제품명]],BOM_개발품목[[제품명]:[사양]],4,0),"")</f>
        <v>SI1679</v>
      </c>
      <c r="E416" s="1">
        <v>46211</v>
      </c>
      <c r="F416" t="s">
        <v>114</v>
      </c>
      <c r="G416" s="1" t="s">
        <v>499</v>
      </c>
      <c r="H416" t="s">
        <v>1834</v>
      </c>
      <c r="I416" s="3">
        <v>5</v>
      </c>
      <c r="J416" s="46">
        <v>17</v>
      </c>
      <c r="L416" s="129" t="str">
        <f>실험지시[[#This Row],[금형코드]]</f>
        <v>M261009_01</v>
      </c>
      <c r="M416" s="131" t="str">
        <f>IFERROR(VLOOKUP($A416,[5]실험의뢰_장진영!$A:$M,5,0),"")</f>
        <v/>
      </c>
      <c r="N416" s="104" t="str">
        <f>IFERROR(VLOOKUP($A416,[5]실험의뢰_장진영!$A:$M,4,0),"")</f>
        <v/>
      </c>
      <c r="O416" s="132" t="str">
        <f>IFERROR(VLOOKUP($A416,[5]실험의뢰_장진영!$A:$M,6,0),"")</f>
        <v/>
      </c>
      <c r="P416" s="99" t="str">
        <f>IFERROR(VLOOKUP(실험지시[[#This Row],[제품명]],BOM_개발품목[[제품명]:[사양]],7,0),"")</f>
        <v>ABS (롯데첨단소재 MP-0670)</v>
      </c>
      <c r="Q416" s="104" t="str">
        <f>IFERROR(VLOOKUP($A416,[5]실험의뢰_장진영!$A:$M,11,0),"")</f>
        <v/>
      </c>
      <c r="R416" s="104" t="str">
        <f>IFERROR(VLOOKUP($A416,[5]실험의뢰_장진영!$A:$M,12,0),"")</f>
        <v/>
      </c>
      <c r="S416" s="104" t="str">
        <f>IFERROR(VLOOKUP($A416,[5]실험의뢰_장진영!$A:$M,13,0),"")</f>
        <v/>
      </c>
      <c r="T416" s="58"/>
    </row>
    <row r="417" spans="1:20" ht="30" customHeight="1">
      <c r="A417" s="99" t="str">
        <f>실험지시[[#This Row],[품목코드]] &amp; "_" &amp; TEXT(실험지시[[#This Row],[실험지시일자]], "yyyymmdd")</f>
        <v>SI1616_20260708</v>
      </c>
      <c r="B417" t="s">
        <v>936</v>
      </c>
      <c r="C417" s="99" t="str">
        <f>IFERROR(VLOOKUP(실험지시[[#This Row],[제품명]],BOM_개발품목[[제품명]:[사양]],5,0),"")</f>
        <v>M251186_01</v>
      </c>
      <c r="D417" s="112" t="str">
        <f>IFERROR(VLOOKUP(실험지시[[#This Row],[제품명]],BOM_개발품목[[제품명]:[사양]],4,0),"")</f>
        <v>SI1616</v>
      </c>
      <c r="E417" s="1">
        <v>46211</v>
      </c>
      <c r="F417" t="s">
        <v>1672</v>
      </c>
      <c r="G417" s="100" t="s">
        <v>484</v>
      </c>
      <c r="H417" t="s">
        <v>1833</v>
      </c>
      <c r="I417" s="3">
        <v>6</v>
      </c>
      <c r="J417" s="46">
        <v>20</v>
      </c>
      <c r="K417" s="74">
        <v>250930</v>
      </c>
      <c r="L417" s="129" t="str">
        <f>실험지시[[#This Row],[금형코드]]</f>
        <v>M251186_01</v>
      </c>
      <c r="M417" s="131" t="str">
        <f>IFERROR(VLOOKUP($A417,[5]실험의뢰_장진영!$A:$M,5,0),"")</f>
        <v/>
      </c>
      <c r="N417" s="104" t="str">
        <f>IFERROR(VLOOKUP($A417,[5]실험의뢰_장진영!$A:$M,4,0),"")</f>
        <v/>
      </c>
      <c r="O417" s="132" t="str">
        <f>IFERROR(VLOOKUP($A417,[5]실험의뢰_장진영!$A:$M,6,0),"")</f>
        <v/>
      </c>
      <c r="P417" s="99" t="str">
        <f>IFERROR(VLOOKUP(실험지시[[#This Row],[제품명]],BOM_개발품목[[제품명]:[사양]],7,0),"")</f>
        <v>Hytrel (Dupont H7246)</v>
      </c>
      <c r="Q417" s="104" t="str">
        <f>IFERROR(VLOOKUP($A417,[5]실험의뢰_장진영!$A:$M,11,0),"")</f>
        <v/>
      </c>
      <c r="R417" s="104" t="str">
        <f>IFERROR(VLOOKUP($A417,[5]실험의뢰_장진영!$A:$M,12,0),"")</f>
        <v/>
      </c>
      <c r="S417" s="104" t="str">
        <f>IFERROR(VLOOKUP($A417,[5]실험의뢰_장진영!$A:$M,13,0),"")</f>
        <v/>
      </c>
      <c r="T417" s="58"/>
    </row>
    <row r="418" spans="1:20" ht="30" customHeight="1">
      <c r="A418" s="99" t="str">
        <f>실험지시[[#This Row],[품목코드]] &amp; "_" &amp; TEXT(실험지시[[#This Row],[실험지시일자]], "yyyymmdd")</f>
        <v>_19000100</v>
      </c>
      <c r="B418"/>
      <c r="C418" s="99" t="str">
        <f>IFERROR(VLOOKUP(실험지시[[#This Row],[제품명]],BOM_개발품목[[제품명]:[사양]],5,0),"")</f>
        <v/>
      </c>
      <c r="D418" s="112" t="str">
        <f>IFERROR(VLOOKUP(실험지시[[#This Row],[제품명]],BOM_개발품목[[제품명]:[사양]],4,0),"")</f>
        <v/>
      </c>
      <c r="E418" s="1"/>
      <c r="I418" s="3"/>
      <c r="L418" s="129" t="str">
        <f>실험지시[[#This Row],[금형코드]]</f>
        <v/>
      </c>
      <c r="M418" s="131">
        <f>IFERROR(VLOOKUP($A418,[5]실험의뢰_장진영!$A:$M,5,0),"")</f>
        <v>0</v>
      </c>
      <c r="N418" s="104" t="str">
        <f>IFERROR(VLOOKUP($A418,[5]실험의뢰_장진영!$A:$M,4,0),"")</f>
        <v>라보 60ml 캡 찍은 뒤 장식 조립해보고 틈보이면 60ml 장식도 키워서 찍어야 할 수 있습니다</v>
      </c>
      <c r="O418" s="132">
        <f>IFERROR(VLOOKUP($A418,[5]실험의뢰_장진영!$A:$M,6,0),"")</f>
        <v>0</v>
      </c>
      <c r="P418" s="99" t="str">
        <f>IFERROR(VLOOKUP(실험지시[[#This Row],[제품명]],BOM_개발품목[[제품명]:[사양]],7,0),"")</f>
        <v/>
      </c>
      <c r="Q418" s="104">
        <f>IFERROR(VLOOKUP($A418,[5]실험의뢰_장진영!$A:$M,11,0),"")</f>
        <v>0</v>
      </c>
      <c r="R418" s="104">
        <f>IFERROR(VLOOKUP($A418,[5]실험의뢰_장진영!$A:$M,12,0),"")</f>
        <v>0</v>
      </c>
      <c r="S418" s="104">
        <f>IFERROR(VLOOKUP($A418,[5]실험의뢰_장진영!$A:$M,13,0),"")</f>
        <v>0</v>
      </c>
      <c r="T418" s="58"/>
    </row>
    <row r="419" spans="1:20" ht="30" customHeight="1">
      <c r="A419" s="99" t="str">
        <f>실험지시[[#This Row],[품목코드]] &amp; "_" &amp; TEXT(실험지시[[#This Row],[실험지시일자]], "yyyymmdd")</f>
        <v>_19000100</v>
      </c>
      <c r="B419"/>
      <c r="C419" s="99" t="str">
        <f>IFERROR(VLOOKUP(실험지시[[#This Row],[제품명]],BOM_개발품목[[제품명]:[사양]],5,0),"")</f>
        <v/>
      </c>
      <c r="D419" s="112" t="str">
        <f>IFERROR(VLOOKUP(실험지시[[#This Row],[제품명]],BOM_개발품목[[제품명]:[사양]],4,0),"")</f>
        <v/>
      </c>
      <c r="E419" s="1"/>
      <c r="I419" s="3"/>
      <c r="L419" s="129" t="str">
        <f>실험지시[[#This Row],[금형코드]]</f>
        <v/>
      </c>
      <c r="M419" s="131">
        <f>IFERROR(VLOOKUP($A419,[5]실험의뢰_장진영!$A:$M,5,0),"")</f>
        <v>0</v>
      </c>
      <c r="N419" s="104" t="str">
        <f>IFERROR(VLOOKUP($A419,[5]실험의뢰_장진영!$A:$M,4,0),"")</f>
        <v>라보 60ml 캡 찍은 뒤 장식 조립해보고 틈보이면 60ml 장식도 키워서 찍어야 할 수 있습니다</v>
      </c>
      <c r="O419" s="132">
        <f>IFERROR(VLOOKUP($A419,[5]실험의뢰_장진영!$A:$M,6,0),"")</f>
        <v>0</v>
      </c>
      <c r="P419" s="99" t="str">
        <f>IFERROR(VLOOKUP(실험지시[[#This Row],[제품명]],BOM_개발품목[[제품명]:[사양]],7,0),"")</f>
        <v/>
      </c>
      <c r="Q419" s="104">
        <f>IFERROR(VLOOKUP($A419,[5]실험의뢰_장진영!$A:$M,11,0),"")</f>
        <v>0</v>
      </c>
      <c r="R419" s="104">
        <f>IFERROR(VLOOKUP($A419,[5]실험의뢰_장진영!$A:$M,12,0),"")</f>
        <v>0</v>
      </c>
      <c r="S419" s="104">
        <f>IFERROR(VLOOKUP($A419,[5]실험의뢰_장진영!$A:$M,13,0),"")</f>
        <v>0</v>
      </c>
      <c r="T419" s="58"/>
    </row>
    <row r="420" spans="1:20" ht="30" customHeight="1">
      <c r="A420" s="99" t="str">
        <f>실험지시[[#This Row],[품목코드]] &amp; "_" &amp; TEXT(실험지시[[#This Row],[실험지시일자]], "yyyymmdd")</f>
        <v>_19000100</v>
      </c>
      <c r="B420"/>
      <c r="C420" s="99" t="str">
        <f>IFERROR(VLOOKUP(실험지시[[#This Row],[제품명]],BOM_개발품목[[제품명]:[사양]],5,0),"")</f>
        <v/>
      </c>
      <c r="D420" s="112" t="str">
        <f>IFERROR(VLOOKUP(실험지시[[#This Row],[제품명]],BOM_개발품목[[제품명]:[사양]],4,0),"")</f>
        <v/>
      </c>
      <c r="E420" s="1"/>
      <c r="I420" s="3"/>
      <c r="L420" s="129" t="str">
        <f>실험지시[[#This Row],[금형코드]]</f>
        <v/>
      </c>
      <c r="M420" s="131">
        <f>IFERROR(VLOOKUP($A420,[5]실험의뢰_장진영!$A:$M,5,0),"")</f>
        <v>0</v>
      </c>
      <c r="N420" s="104" t="str">
        <f>IFERROR(VLOOKUP($A420,[5]실험의뢰_장진영!$A:$M,4,0),"")</f>
        <v>라보 60ml 캡 찍은 뒤 장식 조립해보고 틈보이면 60ml 장식도 키워서 찍어야 할 수 있습니다</v>
      </c>
      <c r="O420" s="132">
        <f>IFERROR(VLOOKUP($A420,[5]실험의뢰_장진영!$A:$M,6,0),"")</f>
        <v>0</v>
      </c>
      <c r="P420" s="99" t="str">
        <f>IFERROR(VLOOKUP(실험지시[[#This Row],[제품명]],BOM_개발품목[[제품명]:[사양]],7,0),"")</f>
        <v/>
      </c>
      <c r="Q420" s="104">
        <f>IFERROR(VLOOKUP($A420,[5]실험의뢰_장진영!$A:$M,11,0),"")</f>
        <v>0</v>
      </c>
      <c r="R420" s="104">
        <f>IFERROR(VLOOKUP($A420,[5]실험의뢰_장진영!$A:$M,12,0),"")</f>
        <v>0</v>
      </c>
      <c r="S420" s="104">
        <f>IFERROR(VLOOKUP($A420,[5]실험의뢰_장진영!$A:$M,13,0),"")</f>
        <v>0</v>
      </c>
      <c r="T420" s="58"/>
    </row>
    <row r="421" spans="1:20" ht="30" customHeight="1">
      <c r="A421" s="99" t="str">
        <f>실험지시[[#This Row],[품목코드]] &amp; "_" &amp; TEXT(실험지시[[#This Row],[실험지시일자]], "yyyymmdd")</f>
        <v>_19000100</v>
      </c>
      <c r="B421"/>
      <c r="C421" s="99" t="str">
        <f>IFERROR(VLOOKUP(실험지시[[#This Row],[제품명]],BOM_개발품목[[제품명]:[사양]],5,0),"")</f>
        <v/>
      </c>
      <c r="D421" s="112" t="str">
        <f>IFERROR(VLOOKUP(실험지시[[#This Row],[제품명]],BOM_개발품목[[제품명]:[사양]],4,0),"")</f>
        <v/>
      </c>
      <c r="E421" s="1"/>
      <c r="I421" s="3"/>
      <c r="L421" s="129" t="str">
        <f>실험지시[[#This Row],[금형코드]]</f>
        <v/>
      </c>
      <c r="M421" s="131">
        <f>IFERROR(VLOOKUP($A421,[5]실험의뢰_장진영!$A:$M,5,0),"")</f>
        <v>0</v>
      </c>
      <c r="N421" s="104" t="str">
        <f>IFERROR(VLOOKUP($A421,[5]실험의뢰_장진영!$A:$M,4,0),"")</f>
        <v>라보 60ml 캡 찍은 뒤 장식 조립해보고 틈보이면 60ml 장식도 키워서 찍어야 할 수 있습니다</v>
      </c>
      <c r="O421" s="132">
        <f>IFERROR(VLOOKUP($A421,[5]실험의뢰_장진영!$A:$M,6,0),"")</f>
        <v>0</v>
      </c>
      <c r="P421" s="99" t="str">
        <f>IFERROR(VLOOKUP(실험지시[[#This Row],[제품명]],BOM_개발품목[[제품명]:[사양]],7,0),"")</f>
        <v/>
      </c>
      <c r="Q421" s="104">
        <f>IFERROR(VLOOKUP($A421,[5]실험의뢰_장진영!$A:$M,11,0),"")</f>
        <v>0</v>
      </c>
      <c r="R421" s="104">
        <f>IFERROR(VLOOKUP($A421,[5]실험의뢰_장진영!$A:$M,12,0),"")</f>
        <v>0</v>
      </c>
      <c r="S421" s="104">
        <f>IFERROR(VLOOKUP($A421,[5]실험의뢰_장진영!$A:$M,13,0),"")</f>
        <v>0</v>
      </c>
      <c r="T421" s="58"/>
    </row>
    <row r="422" spans="1:20" ht="30" customHeight="1">
      <c r="A422" s="99" t="str">
        <f>실험지시[[#This Row],[품목코드]] &amp; "_" &amp; TEXT(실험지시[[#This Row],[실험지시일자]], "yyyymmdd")</f>
        <v>_19000100</v>
      </c>
      <c r="B422"/>
      <c r="C422" s="99" t="str">
        <f>IFERROR(VLOOKUP(실험지시[[#This Row],[제품명]],BOM_개발품목[[제품명]:[사양]],5,0),"")</f>
        <v/>
      </c>
      <c r="D422" s="112" t="str">
        <f>IFERROR(VLOOKUP(실험지시[[#This Row],[제품명]],BOM_개발품목[[제품명]:[사양]],4,0),"")</f>
        <v/>
      </c>
      <c r="E422" s="1"/>
      <c r="I422" s="3"/>
      <c r="L422" s="129" t="str">
        <f>실험지시[[#This Row],[금형코드]]</f>
        <v/>
      </c>
      <c r="M422" s="131">
        <f>IFERROR(VLOOKUP($A422,[5]실험의뢰_장진영!$A:$M,5,0),"")</f>
        <v>0</v>
      </c>
      <c r="N422" s="104" t="str">
        <f>IFERROR(VLOOKUP($A422,[5]실험의뢰_장진영!$A:$M,4,0),"")</f>
        <v>라보 60ml 캡 찍은 뒤 장식 조립해보고 틈보이면 60ml 장식도 키워서 찍어야 할 수 있습니다</v>
      </c>
      <c r="O422" s="132">
        <f>IFERROR(VLOOKUP($A422,[5]실험의뢰_장진영!$A:$M,6,0),"")</f>
        <v>0</v>
      </c>
      <c r="P422" s="99" t="str">
        <f>IFERROR(VLOOKUP(실험지시[[#This Row],[제품명]],BOM_개발품목[[제품명]:[사양]],7,0),"")</f>
        <v/>
      </c>
      <c r="Q422" s="104">
        <f>IFERROR(VLOOKUP($A422,[5]실험의뢰_장진영!$A:$M,11,0),"")</f>
        <v>0</v>
      </c>
      <c r="R422" s="104">
        <f>IFERROR(VLOOKUP($A422,[5]실험의뢰_장진영!$A:$M,12,0),"")</f>
        <v>0</v>
      </c>
      <c r="S422" s="104">
        <f>IFERROR(VLOOKUP($A422,[5]실험의뢰_장진영!$A:$M,13,0),"")</f>
        <v>0</v>
      </c>
      <c r="T422" s="58"/>
    </row>
    <row r="423" spans="1:20" ht="30" customHeight="1">
      <c r="A423" s="99" t="str">
        <f>실험지시[[#This Row],[품목코드]] &amp; "_" &amp; TEXT(실험지시[[#This Row],[실험지시일자]], "yyyymmdd")</f>
        <v>_19000100</v>
      </c>
      <c r="B423"/>
      <c r="C423" s="99" t="str">
        <f>IFERROR(VLOOKUP(실험지시[[#This Row],[제품명]],BOM_개발품목[[제품명]:[사양]],5,0),"")</f>
        <v/>
      </c>
      <c r="D423" s="112" t="str">
        <f>IFERROR(VLOOKUP(실험지시[[#This Row],[제품명]],BOM_개발품목[[제품명]:[사양]],4,0),"")</f>
        <v/>
      </c>
      <c r="E423" s="1"/>
      <c r="I423" s="3"/>
      <c r="L423" s="129" t="str">
        <f>실험지시[[#This Row],[금형코드]]</f>
        <v/>
      </c>
      <c r="M423" s="131">
        <f>IFERROR(VLOOKUP($A423,[5]실험의뢰_장진영!$A:$M,5,0),"")</f>
        <v>0</v>
      </c>
      <c r="N423" s="104" t="str">
        <f>IFERROR(VLOOKUP($A423,[5]실험의뢰_장진영!$A:$M,4,0),"")</f>
        <v>라보 60ml 캡 찍은 뒤 장식 조립해보고 틈보이면 60ml 장식도 키워서 찍어야 할 수 있습니다</v>
      </c>
      <c r="O423" s="132">
        <f>IFERROR(VLOOKUP($A423,[5]실험의뢰_장진영!$A:$M,6,0),"")</f>
        <v>0</v>
      </c>
      <c r="P423" s="99" t="str">
        <f>IFERROR(VLOOKUP(실험지시[[#This Row],[제품명]],BOM_개발품목[[제품명]:[사양]],7,0),"")</f>
        <v/>
      </c>
      <c r="Q423" s="104">
        <f>IFERROR(VLOOKUP($A423,[5]실험의뢰_장진영!$A:$M,11,0),"")</f>
        <v>0</v>
      </c>
      <c r="R423" s="104">
        <f>IFERROR(VLOOKUP($A423,[5]실험의뢰_장진영!$A:$M,12,0),"")</f>
        <v>0</v>
      </c>
      <c r="S423" s="104">
        <f>IFERROR(VLOOKUP($A423,[5]실험의뢰_장진영!$A:$M,13,0),"")</f>
        <v>0</v>
      </c>
      <c r="T423" s="58"/>
    </row>
    <row r="424" spans="1:20" ht="30" customHeight="1">
      <c r="A424" s="99" t="str">
        <f>실험지시[[#This Row],[품목코드]] &amp; "_" &amp; TEXT(실험지시[[#This Row],[실험지시일자]], "yyyymmdd")</f>
        <v>_19000100</v>
      </c>
      <c r="B424"/>
      <c r="C424" s="99" t="str">
        <f>IFERROR(VLOOKUP(실험지시[[#This Row],[제품명]],BOM_개발품목[[제품명]:[사양]],5,0),"")</f>
        <v/>
      </c>
      <c r="D424" s="112" t="str">
        <f>IFERROR(VLOOKUP(실험지시[[#This Row],[제품명]],BOM_개발품목[[제품명]:[사양]],4,0),"")</f>
        <v/>
      </c>
      <c r="E424" s="1"/>
      <c r="I424" s="3"/>
      <c r="L424" s="129" t="str">
        <f>실험지시[[#This Row],[금형코드]]</f>
        <v/>
      </c>
      <c r="M424" s="131">
        <f>IFERROR(VLOOKUP($A424,[5]실험의뢰_장진영!$A:$M,5,0),"")</f>
        <v>0</v>
      </c>
      <c r="N424" s="104" t="str">
        <f>IFERROR(VLOOKUP($A424,[5]실험의뢰_장진영!$A:$M,4,0),"")</f>
        <v>라보 60ml 캡 찍은 뒤 장식 조립해보고 틈보이면 60ml 장식도 키워서 찍어야 할 수 있습니다</v>
      </c>
      <c r="O424" s="132">
        <f>IFERROR(VLOOKUP($A424,[5]실험의뢰_장진영!$A:$M,6,0),"")</f>
        <v>0</v>
      </c>
      <c r="P424" s="99" t="str">
        <f>IFERROR(VLOOKUP(실험지시[[#This Row],[제품명]],BOM_개발품목[[제품명]:[사양]],7,0),"")</f>
        <v/>
      </c>
      <c r="Q424" s="104">
        <f>IFERROR(VLOOKUP($A424,[5]실험의뢰_장진영!$A:$M,11,0),"")</f>
        <v>0</v>
      </c>
      <c r="R424" s="104">
        <f>IFERROR(VLOOKUP($A424,[5]실험의뢰_장진영!$A:$M,12,0),"")</f>
        <v>0</v>
      </c>
      <c r="S424" s="104">
        <f>IFERROR(VLOOKUP($A424,[5]실험의뢰_장진영!$A:$M,13,0),"")</f>
        <v>0</v>
      </c>
      <c r="T424" s="58"/>
    </row>
    <row r="425" spans="1:20" ht="30" customHeight="1">
      <c r="A425" s="99" t="str">
        <f>실험지시[[#This Row],[품목코드]] &amp; "_" &amp; TEXT(실험지시[[#This Row],[실험지시일자]], "yyyymmdd")</f>
        <v>_19000100</v>
      </c>
      <c r="B425"/>
      <c r="C425" s="99" t="str">
        <f>IFERROR(VLOOKUP(실험지시[[#This Row],[제품명]],BOM_개발품목[[제품명]:[사양]],5,0),"")</f>
        <v/>
      </c>
      <c r="D425" s="112" t="str">
        <f>IFERROR(VLOOKUP(실험지시[[#This Row],[제품명]],BOM_개발품목[[제품명]:[사양]],4,0),"")</f>
        <v/>
      </c>
      <c r="E425" s="1"/>
      <c r="I425" s="3"/>
      <c r="L425" s="129" t="str">
        <f>실험지시[[#This Row],[금형코드]]</f>
        <v/>
      </c>
      <c r="M425" s="131">
        <f>IFERROR(VLOOKUP($A425,[5]실험의뢰_장진영!$A:$M,5,0),"")</f>
        <v>0</v>
      </c>
      <c r="N425" s="104" t="str">
        <f>IFERROR(VLOOKUP($A425,[5]실험의뢰_장진영!$A:$M,4,0),"")</f>
        <v>라보 60ml 캡 찍은 뒤 장식 조립해보고 틈보이면 60ml 장식도 키워서 찍어야 할 수 있습니다</v>
      </c>
      <c r="O425" s="132">
        <f>IFERROR(VLOOKUP($A425,[5]실험의뢰_장진영!$A:$M,6,0),"")</f>
        <v>0</v>
      </c>
      <c r="P425" s="99" t="str">
        <f>IFERROR(VLOOKUP(실험지시[[#This Row],[제품명]],BOM_개발품목[[제품명]:[사양]],7,0),"")</f>
        <v/>
      </c>
      <c r="Q425" s="104">
        <f>IFERROR(VLOOKUP($A425,[5]실험의뢰_장진영!$A:$M,11,0),"")</f>
        <v>0</v>
      </c>
      <c r="R425" s="104">
        <f>IFERROR(VLOOKUP($A425,[5]실험의뢰_장진영!$A:$M,12,0),"")</f>
        <v>0</v>
      </c>
      <c r="S425" s="104">
        <f>IFERROR(VLOOKUP($A425,[5]실험의뢰_장진영!$A:$M,13,0),"")</f>
        <v>0</v>
      </c>
      <c r="T425" s="58"/>
    </row>
    <row r="426" spans="1:20" ht="30" customHeight="1">
      <c r="A426" s="99" t="str">
        <f>실험지시[[#This Row],[품목코드]] &amp; "_" &amp; TEXT(실험지시[[#This Row],[실험지시일자]], "yyyymmdd")</f>
        <v>_19000100</v>
      </c>
      <c r="B426"/>
      <c r="C426" s="99" t="str">
        <f>IFERROR(VLOOKUP(실험지시[[#This Row],[제품명]],BOM_개발품목[[제품명]:[사양]],5,0),"")</f>
        <v/>
      </c>
      <c r="D426" s="112" t="str">
        <f>IFERROR(VLOOKUP(실험지시[[#This Row],[제품명]],BOM_개발품목[[제품명]:[사양]],4,0),"")</f>
        <v/>
      </c>
      <c r="E426" s="1"/>
      <c r="I426" s="3"/>
      <c r="L426" s="129" t="str">
        <f>실험지시[[#This Row],[금형코드]]</f>
        <v/>
      </c>
      <c r="M426" s="131">
        <f>IFERROR(VLOOKUP($A426,[5]실험의뢰_장진영!$A:$M,5,0),"")</f>
        <v>0</v>
      </c>
      <c r="N426" s="104" t="str">
        <f>IFERROR(VLOOKUP($A426,[5]실험의뢰_장진영!$A:$M,4,0),"")</f>
        <v>라보 60ml 캡 찍은 뒤 장식 조립해보고 틈보이면 60ml 장식도 키워서 찍어야 할 수 있습니다</v>
      </c>
      <c r="O426" s="132">
        <f>IFERROR(VLOOKUP($A426,[5]실험의뢰_장진영!$A:$M,6,0),"")</f>
        <v>0</v>
      </c>
      <c r="P426" s="99" t="str">
        <f>IFERROR(VLOOKUP(실험지시[[#This Row],[제품명]],BOM_개발품목[[제품명]:[사양]],7,0),"")</f>
        <v/>
      </c>
      <c r="Q426" s="104">
        <f>IFERROR(VLOOKUP($A426,[5]실험의뢰_장진영!$A:$M,11,0),"")</f>
        <v>0</v>
      </c>
      <c r="R426" s="104">
        <f>IFERROR(VLOOKUP($A426,[5]실험의뢰_장진영!$A:$M,12,0),"")</f>
        <v>0</v>
      </c>
      <c r="S426" s="104">
        <f>IFERROR(VLOOKUP($A426,[5]실험의뢰_장진영!$A:$M,13,0),"")</f>
        <v>0</v>
      </c>
      <c r="T426" s="58"/>
    </row>
    <row r="427" spans="1:20" ht="30" customHeight="1">
      <c r="A427" s="99" t="str">
        <f>실험지시[[#This Row],[품목코드]] &amp; "_" &amp; TEXT(실험지시[[#This Row],[실험지시일자]], "yyyymmdd")</f>
        <v>_19000100</v>
      </c>
      <c r="B427"/>
      <c r="C427" s="99" t="str">
        <f>IFERROR(VLOOKUP(실험지시[[#This Row],[제품명]],BOM_개발품목[[제품명]:[사양]],5,0),"")</f>
        <v/>
      </c>
      <c r="D427" s="112" t="str">
        <f>IFERROR(VLOOKUP(실험지시[[#This Row],[제품명]],BOM_개발품목[[제품명]:[사양]],4,0),"")</f>
        <v/>
      </c>
      <c r="E427" s="1"/>
      <c r="I427" s="3"/>
      <c r="L427" s="129" t="str">
        <f>실험지시[[#This Row],[금형코드]]</f>
        <v/>
      </c>
      <c r="M427" s="131">
        <f>IFERROR(VLOOKUP($A427,[5]실험의뢰_장진영!$A:$M,5,0),"")</f>
        <v>0</v>
      </c>
      <c r="N427" s="104" t="str">
        <f>IFERROR(VLOOKUP($A427,[5]실험의뢰_장진영!$A:$M,4,0),"")</f>
        <v>라보 60ml 캡 찍은 뒤 장식 조립해보고 틈보이면 60ml 장식도 키워서 찍어야 할 수 있습니다</v>
      </c>
      <c r="O427" s="132">
        <f>IFERROR(VLOOKUP($A427,[5]실험의뢰_장진영!$A:$M,6,0),"")</f>
        <v>0</v>
      </c>
      <c r="P427" s="99" t="str">
        <f>IFERROR(VLOOKUP(실험지시[[#This Row],[제품명]],BOM_개발품목[[제품명]:[사양]],7,0),"")</f>
        <v/>
      </c>
      <c r="Q427" s="104">
        <f>IFERROR(VLOOKUP($A427,[5]실험의뢰_장진영!$A:$M,11,0),"")</f>
        <v>0</v>
      </c>
      <c r="R427" s="104">
        <f>IFERROR(VLOOKUP($A427,[5]실험의뢰_장진영!$A:$M,12,0),"")</f>
        <v>0</v>
      </c>
      <c r="S427" s="104">
        <f>IFERROR(VLOOKUP($A427,[5]실험의뢰_장진영!$A:$M,13,0),"")</f>
        <v>0</v>
      </c>
      <c r="T427" s="58"/>
    </row>
    <row r="428" spans="1:20" ht="30" customHeight="1">
      <c r="A428" s="99" t="str">
        <f>실험지시[[#This Row],[품목코드]] &amp; "_" &amp; TEXT(실험지시[[#This Row],[실험지시일자]], "yyyymmdd")</f>
        <v>_19000100</v>
      </c>
      <c r="B428"/>
      <c r="C428" s="99" t="str">
        <f>IFERROR(VLOOKUP(실험지시[[#This Row],[제품명]],BOM_개발품목[[제품명]:[사양]],5,0),"")</f>
        <v/>
      </c>
      <c r="D428" s="112" t="str">
        <f>IFERROR(VLOOKUP(실험지시[[#This Row],[제품명]],BOM_개발품목[[제품명]:[사양]],4,0),"")</f>
        <v/>
      </c>
      <c r="E428" s="1"/>
      <c r="I428" s="3"/>
      <c r="L428" s="129" t="str">
        <f>실험지시[[#This Row],[금형코드]]</f>
        <v/>
      </c>
      <c r="M428" s="131">
        <f>IFERROR(VLOOKUP($A428,[5]실험의뢰_장진영!$A:$M,5,0),"")</f>
        <v>0</v>
      </c>
      <c r="N428" s="104" t="str">
        <f>IFERROR(VLOOKUP($A428,[5]실험의뢰_장진영!$A:$M,4,0),"")</f>
        <v>라보 60ml 캡 찍은 뒤 장식 조립해보고 틈보이면 60ml 장식도 키워서 찍어야 할 수 있습니다</v>
      </c>
      <c r="O428" s="132">
        <f>IFERROR(VLOOKUP($A428,[5]실험의뢰_장진영!$A:$M,6,0),"")</f>
        <v>0</v>
      </c>
      <c r="P428" s="99" t="str">
        <f>IFERROR(VLOOKUP(실험지시[[#This Row],[제품명]],BOM_개발품목[[제품명]:[사양]],7,0),"")</f>
        <v/>
      </c>
      <c r="Q428" s="104">
        <f>IFERROR(VLOOKUP($A428,[5]실험의뢰_장진영!$A:$M,11,0),"")</f>
        <v>0</v>
      </c>
      <c r="R428" s="104">
        <f>IFERROR(VLOOKUP($A428,[5]실험의뢰_장진영!$A:$M,12,0),"")</f>
        <v>0</v>
      </c>
      <c r="S428" s="104">
        <f>IFERROR(VLOOKUP($A428,[5]실험의뢰_장진영!$A:$M,13,0),"")</f>
        <v>0</v>
      </c>
      <c r="T428" s="58"/>
    </row>
    <row r="429" spans="1:20" ht="30" customHeight="1">
      <c r="A429" s="99" t="str">
        <f>실험지시[[#This Row],[품목코드]] &amp; "_" &amp; TEXT(실험지시[[#This Row],[실험지시일자]], "yyyymmdd")</f>
        <v>_19000100</v>
      </c>
      <c r="B429"/>
      <c r="C429" s="99" t="str">
        <f>IFERROR(VLOOKUP(실험지시[[#This Row],[제품명]],BOM_개발품목[[제품명]:[사양]],5,0),"")</f>
        <v/>
      </c>
      <c r="D429" s="112" t="str">
        <f>IFERROR(VLOOKUP(실험지시[[#This Row],[제품명]],BOM_개발품목[[제품명]:[사양]],4,0),"")</f>
        <v/>
      </c>
      <c r="E429" s="1"/>
      <c r="I429" s="3"/>
      <c r="L429" s="129" t="str">
        <f>실험지시[[#This Row],[금형코드]]</f>
        <v/>
      </c>
      <c r="M429" s="131">
        <f>IFERROR(VLOOKUP($A429,[5]실험의뢰_장진영!$A:$M,5,0),"")</f>
        <v>0</v>
      </c>
      <c r="N429" s="104" t="str">
        <f>IFERROR(VLOOKUP($A429,[5]실험의뢰_장진영!$A:$M,4,0),"")</f>
        <v>라보 60ml 캡 찍은 뒤 장식 조립해보고 틈보이면 60ml 장식도 키워서 찍어야 할 수 있습니다</v>
      </c>
      <c r="O429" s="132">
        <f>IFERROR(VLOOKUP($A429,[5]실험의뢰_장진영!$A:$M,6,0),"")</f>
        <v>0</v>
      </c>
      <c r="P429" s="99" t="str">
        <f>IFERROR(VLOOKUP(실험지시[[#This Row],[제품명]],BOM_개발품목[[제품명]:[사양]],7,0),"")</f>
        <v/>
      </c>
      <c r="Q429" s="104">
        <f>IFERROR(VLOOKUP($A429,[5]실험의뢰_장진영!$A:$M,11,0),"")</f>
        <v>0</v>
      </c>
      <c r="R429" s="104">
        <f>IFERROR(VLOOKUP($A429,[5]실험의뢰_장진영!$A:$M,12,0),"")</f>
        <v>0</v>
      </c>
      <c r="S429" s="104">
        <f>IFERROR(VLOOKUP($A429,[5]실험의뢰_장진영!$A:$M,13,0),"")</f>
        <v>0</v>
      </c>
      <c r="T429" s="58"/>
    </row>
    <row r="430" spans="1:20" ht="30" customHeight="1">
      <c r="A430" s="99" t="str">
        <f>실험지시[[#This Row],[품목코드]] &amp; "_" &amp; TEXT(실험지시[[#This Row],[실험지시일자]], "yyyymmdd")</f>
        <v>_19000100</v>
      </c>
      <c r="B430"/>
      <c r="C430" s="99" t="str">
        <f>IFERROR(VLOOKUP(실험지시[[#This Row],[제품명]],BOM_개발품목[[제품명]:[사양]],5,0),"")</f>
        <v/>
      </c>
      <c r="D430" s="112" t="str">
        <f>IFERROR(VLOOKUP(실험지시[[#This Row],[제품명]],BOM_개발품목[[제품명]:[사양]],4,0),"")</f>
        <v/>
      </c>
      <c r="E430" s="1"/>
      <c r="I430" s="3"/>
      <c r="L430" s="129" t="str">
        <f>실험지시[[#This Row],[금형코드]]</f>
        <v/>
      </c>
      <c r="M430" s="131">
        <f>IFERROR(VLOOKUP($A430,[5]실험의뢰_장진영!$A:$M,5,0),"")</f>
        <v>0</v>
      </c>
      <c r="N430" s="104" t="str">
        <f>IFERROR(VLOOKUP($A430,[5]실험의뢰_장진영!$A:$M,4,0),"")</f>
        <v>라보 60ml 캡 찍은 뒤 장식 조립해보고 틈보이면 60ml 장식도 키워서 찍어야 할 수 있습니다</v>
      </c>
      <c r="O430" s="132">
        <f>IFERROR(VLOOKUP($A430,[5]실험의뢰_장진영!$A:$M,6,0),"")</f>
        <v>0</v>
      </c>
      <c r="P430" s="99" t="str">
        <f>IFERROR(VLOOKUP(실험지시[[#This Row],[제품명]],BOM_개발품목[[제품명]:[사양]],7,0),"")</f>
        <v/>
      </c>
      <c r="Q430" s="104">
        <f>IFERROR(VLOOKUP($A430,[5]실험의뢰_장진영!$A:$M,11,0),"")</f>
        <v>0</v>
      </c>
      <c r="R430" s="104">
        <f>IFERROR(VLOOKUP($A430,[5]실험의뢰_장진영!$A:$M,12,0),"")</f>
        <v>0</v>
      </c>
      <c r="S430" s="104">
        <f>IFERROR(VLOOKUP($A430,[5]실험의뢰_장진영!$A:$M,13,0),"")</f>
        <v>0</v>
      </c>
      <c r="T430" s="58"/>
    </row>
    <row r="431" spans="1:20" ht="30" customHeight="1">
      <c r="A431" s="99" t="str">
        <f>실험지시[[#This Row],[품목코드]] &amp; "_" &amp; TEXT(실험지시[[#This Row],[실험지시일자]], "yyyymmdd")</f>
        <v>_19000100</v>
      </c>
      <c r="B431"/>
      <c r="C431" s="99" t="str">
        <f>IFERROR(VLOOKUP(실험지시[[#This Row],[제품명]],BOM_개발품목[[제품명]:[사양]],5,0),"")</f>
        <v/>
      </c>
      <c r="D431" s="112" t="str">
        <f>IFERROR(VLOOKUP(실험지시[[#This Row],[제품명]],BOM_개발품목[[제품명]:[사양]],4,0),"")</f>
        <v/>
      </c>
      <c r="E431" s="1"/>
      <c r="I431" s="3"/>
      <c r="L431" s="129" t="str">
        <f>실험지시[[#This Row],[금형코드]]</f>
        <v/>
      </c>
      <c r="M431" s="131">
        <f>IFERROR(VLOOKUP($A431,[5]실험의뢰_장진영!$A:$M,5,0),"")</f>
        <v>0</v>
      </c>
      <c r="N431" s="104" t="str">
        <f>IFERROR(VLOOKUP($A431,[5]실험의뢰_장진영!$A:$M,4,0),"")</f>
        <v>라보 60ml 캡 찍은 뒤 장식 조립해보고 틈보이면 60ml 장식도 키워서 찍어야 할 수 있습니다</v>
      </c>
      <c r="O431" s="132">
        <f>IFERROR(VLOOKUP($A431,[5]실험의뢰_장진영!$A:$M,6,0),"")</f>
        <v>0</v>
      </c>
      <c r="P431" s="99" t="str">
        <f>IFERROR(VLOOKUP(실험지시[[#This Row],[제품명]],BOM_개발품목[[제품명]:[사양]],7,0),"")</f>
        <v/>
      </c>
      <c r="Q431" s="104">
        <f>IFERROR(VLOOKUP($A431,[5]실험의뢰_장진영!$A:$M,11,0),"")</f>
        <v>0</v>
      </c>
      <c r="R431" s="104">
        <f>IFERROR(VLOOKUP($A431,[5]실험의뢰_장진영!$A:$M,12,0),"")</f>
        <v>0</v>
      </c>
      <c r="S431" s="104">
        <f>IFERROR(VLOOKUP($A431,[5]실험의뢰_장진영!$A:$M,13,0),"")</f>
        <v>0</v>
      </c>
      <c r="T431" s="58"/>
    </row>
    <row r="432" spans="1:20" ht="30" customHeight="1">
      <c r="A432" s="99" t="str">
        <f>실험지시[[#This Row],[품목코드]] &amp; "_" &amp; TEXT(실험지시[[#This Row],[실험지시일자]], "yyyymmdd")</f>
        <v>_19000100</v>
      </c>
      <c r="B432"/>
      <c r="C432" s="99" t="str">
        <f>IFERROR(VLOOKUP(실험지시[[#This Row],[제품명]],BOM_개발품목[[제품명]:[사양]],5,0),"")</f>
        <v/>
      </c>
      <c r="D432" s="112" t="str">
        <f>IFERROR(VLOOKUP(실험지시[[#This Row],[제품명]],BOM_개발품목[[제품명]:[사양]],4,0),"")</f>
        <v/>
      </c>
      <c r="E432" s="1"/>
      <c r="I432" s="3"/>
      <c r="L432" s="129" t="str">
        <f>실험지시[[#This Row],[금형코드]]</f>
        <v/>
      </c>
      <c r="M432" s="131">
        <f>IFERROR(VLOOKUP($A432,[5]실험의뢰_장진영!$A:$M,5,0),"")</f>
        <v>0</v>
      </c>
      <c r="N432" s="104" t="str">
        <f>IFERROR(VLOOKUP($A432,[5]실험의뢰_장진영!$A:$M,4,0),"")</f>
        <v>라보 60ml 캡 찍은 뒤 장식 조립해보고 틈보이면 60ml 장식도 키워서 찍어야 할 수 있습니다</v>
      </c>
      <c r="O432" s="132">
        <f>IFERROR(VLOOKUP($A432,[5]실험의뢰_장진영!$A:$M,6,0),"")</f>
        <v>0</v>
      </c>
      <c r="P432" s="99" t="str">
        <f>IFERROR(VLOOKUP(실험지시[[#This Row],[제품명]],BOM_개발품목[[제품명]:[사양]],7,0),"")</f>
        <v/>
      </c>
      <c r="Q432" s="104">
        <f>IFERROR(VLOOKUP($A432,[5]실험의뢰_장진영!$A:$M,11,0),"")</f>
        <v>0</v>
      </c>
      <c r="R432" s="104">
        <f>IFERROR(VLOOKUP($A432,[5]실험의뢰_장진영!$A:$M,12,0),"")</f>
        <v>0</v>
      </c>
      <c r="S432" s="104">
        <f>IFERROR(VLOOKUP($A432,[5]실험의뢰_장진영!$A:$M,13,0),"")</f>
        <v>0</v>
      </c>
      <c r="T432" s="58"/>
    </row>
    <row r="433" spans="1:20" ht="30" customHeight="1">
      <c r="A433" s="99" t="str">
        <f>실험지시[[#This Row],[품목코드]] &amp; "_" &amp; TEXT(실험지시[[#This Row],[실험지시일자]], "yyyymmdd")</f>
        <v>_19000100</v>
      </c>
      <c r="B433"/>
      <c r="C433" s="99" t="str">
        <f>IFERROR(VLOOKUP(실험지시[[#This Row],[제품명]],BOM_개발품목[[제품명]:[사양]],5,0),"")</f>
        <v/>
      </c>
      <c r="D433" s="112" t="str">
        <f>IFERROR(VLOOKUP(실험지시[[#This Row],[제품명]],BOM_개발품목[[제품명]:[사양]],4,0),"")</f>
        <v/>
      </c>
      <c r="E433" s="1"/>
      <c r="I433" s="3"/>
      <c r="L433" s="129" t="str">
        <f>실험지시[[#This Row],[금형코드]]</f>
        <v/>
      </c>
      <c r="M433" s="131">
        <f>IFERROR(VLOOKUP($A433,[5]실험의뢰_장진영!$A:$M,5,0),"")</f>
        <v>0</v>
      </c>
      <c r="N433" s="104" t="str">
        <f>IFERROR(VLOOKUP($A433,[5]실험의뢰_장진영!$A:$M,4,0),"")</f>
        <v>라보 60ml 캡 찍은 뒤 장식 조립해보고 틈보이면 60ml 장식도 키워서 찍어야 할 수 있습니다</v>
      </c>
      <c r="O433" s="132">
        <f>IFERROR(VLOOKUP($A433,[5]실험의뢰_장진영!$A:$M,6,0),"")</f>
        <v>0</v>
      </c>
      <c r="P433" s="99" t="str">
        <f>IFERROR(VLOOKUP(실험지시[[#This Row],[제품명]],BOM_개발품목[[제품명]:[사양]],7,0),"")</f>
        <v/>
      </c>
      <c r="Q433" s="104">
        <f>IFERROR(VLOOKUP($A433,[5]실험의뢰_장진영!$A:$M,11,0),"")</f>
        <v>0</v>
      </c>
      <c r="R433" s="104">
        <f>IFERROR(VLOOKUP($A433,[5]실험의뢰_장진영!$A:$M,12,0),"")</f>
        <v>0</v>
      </c>
      <c r="S433" s="104">
        <f>IFERROR(VLOOKUP($A433,[5]실험의뢰_장진영!$A:$M,13,0),"")</f>
        <v>0</v>
      </c>
      <c r="T433" s="58"/>
    </row>
    <row r="434" spans="1:20" ht="30" customHeight="1">
      <c r="A434" s="99" t="str">
        <f>실험지시[[#This Row],[품목코드]] &amp; "_" &amp; TEXT(실험지시[[#This Row],[실험지시일자]], "yyyymmdd")</f>
        <v>_19000100</v>
      </c>
      <c r="B434"/>
      <c r="C434" s="99" t="str">
        <f>IFERROR(VLOOKUP(실험지시[[#This Row],[제품명]],BOM_개발품목[[제품명]:[사양]],5,0),"")</f>
        <v/>
      </c>
      <c r="D434" s="112" t="str">
        <f>IFERROR(VLOOKUP(실험지시[[#This Row],[제품명]],BOM_개발품목[[제품명]:[사양]],4,0),"")</f>
        <v/>
      </c>
      <c r="E434" s="1"/>
      <c r="I434" s="3"/>
      <c r="L434" s="129" t="str">
        <f>실험지시[[#This Row],[금형코드]]</f>
        <v/>
      </c>
      <c r="M434" s="131">
        <f>IFERROR(VLOOKUP($A434,[5]실험의뢰_장진영!$A:$M,5,0),"")</f>
        <v>0</v>
      </c>
      <c r="N434" s="104" t="str">
        <f>IFERROR(VLOOKUP($A434,[5]실험의뢰_장진영!$A:$M,4,0),"")</f>
        <v>라보 60ml 캡 찍은 뒤 장식 조립해보고 틈보이면 60ml 장식도 키워서 찍어야 할 수 있습니다</v>
      </c>
      <c r="O434" s="132">
        <f>IFERROR(VLOOKUP($A434,[5]실험의뢰_장진영!$A:$M,6,0),"")</f>
        <v>0</v>
      </c>
      <c r="P434" s="99" t="str">
        <f>IFERROR(VLOOKUP(실험지시[[#This Row],[제품명]],BOM_개발품목[[제품명]:[사양]],7,0),"")</f>
        <v/>
      </c>
      <c r="Q434" s="104">
        <f>IFERROR(VLOOKUP($A434,[5]실험의뢰_장진영!$A:$M,11,0),"")</f>
        <v>0</v>
      </c>
      <c r="R434" s="104">
        <f>IFERROR(VLOOKUP($A434,[5]실험의뢰_장진영!$A:$M,12,0),"")</f>
        <v>0</v>
      </c>
      <c r="S434" s="104">
        <f>IFERROR(VLOOKUP($A434,[5]실험의뢰_장진영!$A:$M,13,0),"")</f>
        <v>0</v>
      </c>
      <c r="T434" s="58"/>
    </row>
    <row r="435" spans="1:20" ht="30" customHeight="1">
      <c r="A435" s="99" t="str">
        <f>실험지시[[#This Row],[품목코드]] &amp; "_" &amp; TEXT(실험지시[[#This Row],[실험지시일자]], "yyyymmdd")</f>
        <v>_19000100</v>
      </c>
      <c r="B435"/>
      <c r="C435" s="99" t="str">
        <f>IFERROR(VLOOKUP(실험지시[[#This Row],[제품명]],BOM_개발품목[[제품명]:[사양]],5,0),"")</f>
        <v/>
      </c>
      <c r="D435" s="112" t="str">
        <f>IFERROR(VLOOKUP(실험지시[[#This Row],[제품명]],BOM_개발품목[[제품명]:[사양]],4,0),"")</f>
        <v/>
      </c>
      <c r="E435" s="1"/>
      <c r="I435" s="3"/>
      <c r="L435" s="129" t="str">
        <f>실험지시[[#This Row],[금형코드]]</f>
        <v/>
      </c>
      <c r="M435" s="131">
        <f>IFERROR(VLOOKUP($A435,[5]실험의뢰_장진영!$A:$M,5,0),"")</f>
        <v>0</v>
      </c>
      <c r="N435" s="104" t="str">
        <f>IFERROR(VLOOKUP($A435,[5]실험의뢰_장진영!$A:$M,4,0),"")</f>
        <v>라보 60ml 캡 찍은 뒤 장식 조립해보고 틈보이면 60ml 장식도 키워서 찍어야 할 수 있습니다</v>
      </c>
      <c r="O435" s="132">
        <f>IFERROR(VLOOKUP($A435,[5]실험의뢰_장진영!$A:$M,6,0),"")</f>
        <v>0</v>
      </c>
      <c r="P435" s="99" t="str">
        <f>IFERROR(VLOOKUP(실험지시[[#This Row],[제품명]],BOM_개발품목[[제품명]:[사양]],7,0),"")</f>
        <v/>
      </c>
      <c r="Q435" s="104">
        <f>IFERROR(VLOOKUP($A435,[5]실험의뢰_장진영!$A:$M,11,0),"")</f>
        <v>0</v>
      </c>
      <c r="R435" s="104">
        <f>IFERROR(VLOOKUP($A435,[5]실험의뢰_장진영!$A:$M,12,0),"")</f>
        <v>0</v>
      </c>
      <c r="S435" s="104">
        <f>IFERROR(VLOOKUP($A435,[5]실험의뢰_장진영!$A:$M,13,0),"")</f>
        <v>0</v>
      </c>
      <c r="T435" s="58"/>
    </row>
    <row r="436" spans="1:20" ht="30" customHeight="1">
      <c r="A436" s="99" t="str">
        <f>실험지시[[#This Row],[품목코드]] &amp; "_" &amp; TEXT(실험지시[[#This Row],[실험지시일자]], "yyyymmdd")</f>
        <v>_19000100</v>
      </c>
      <c r="B436"/>
      <c r="C436" s="99" t="str">
        <f>IFERROR(VLOOKUP(실험지시[[#This Row],[제품명]],BOM_개발품목[[제품명]:[사양]],5,0),"")</f>
        <v/>
      </c>
      <c r="D436" s="112" t="str">
        <f>IFERROR(VLOOKUP(실험지시[[#This Row],[제품명]],BOM_개발품목[[제품명]:[사양]],4,0),"")</f>
        <v/>
      </c>
      <c r="E436" s="1"/>
      <c r="I436" s="3"/>
      <c r="L436" s="129" t="str">
        <f>실험지시[[#This Row],[금형코드]]</f>
        <v/>
      </c>
      <c r="M436" s="131">
        <f>IFERROR(VLOOKUP($A436,[5]실험의뢰_장진영!$A:$M,5,0),"")</f>
        <v>0</v>
      </c>
      <c r="N436" s="104" t="str">
        <f>IFERROR(VLOOKUP($A436,[5]실험의뢰_장진영!$A:$M,4,0),"")</f>
        <v>라보 60ml 캡 찍은 뒤 장식 조립해보고 틈보이면 60ml 장식도 키워서 찍어야 할 수 있습니다</v>
      </c>
      <c r="O436" s="132">
        <f>IFERROR(VLOOKUP($A436,[5]실험의뢰_장진영!$A:$M,6,0),"")</f>
        <v>0</v>
      </c>
      <c r="P436" s="99" t="str">
        <f>IFERROR(VLOOKUP(실험지시[[#This Row],[제품명]],BOM_개발품목[[제품명]:[사양]],7,0),"")</f>
        <v/>
      </c>
      <c r="Q436" s="104">
        <f>IFERROR(VLOOKUP($A436,[5]실험의뢰_장진영!$A:$M,11,0),"")</f>
        <v>0</v>
      </c>
      <c r="R436" s="104">
        <f>IFERROR(VLOOKUP($A436,[5]실험의뢰_장진영!$A:$M,12,0),"")</f>
        <v>0</v>
      </c>
      <c r="S436" s="104">
        <f>IFERROR(VLOOKUP($A436,[5]실험의뢰_장진영!$A:$M,13,0),"")</f>
        <v>0</v>
      </c>
      <c r="T436" s="58"/>
    </row>
    <row r="437" spans="1:20" ht="30" customHeight="1">
      <c r="A437" s="99" t="str">
        <f>실험지시[[#This Row],[품목코드]] &amp; "_" &amp; TEXT(실험지시[[#This Row],[실험지시일자]], "yyyymmdd")</f>
        <v>_19000100</v>
      </c>
      <c r="B437"/>
      <c r="C437" s="99" t="str">
        <f>IFERROR(VLOOKUP(실험지시[[#This Row],[제품명]],BOM_개발품목[[제품명]:[사양]],5,0),"")</f>
        <v/>
      </c>
      <c r="D437" s="112" t="str">
        <f>IFERROR(VLOOKUP(실험지시[[#This Row],[제품명]],BOM_개발품목[[제품명]:[사양]],4,0),"")</f>
        <v/>
      </c>
      <c r="E437" s="1"/>
      <c r="I437" s="3"/>
      <c r="L437" s="129" t="str">
        <f>실험지시[[#This Row],[금형코드]]</f>
        <v/>
      </c>
      <c r="M437" s="131">
        <f>IFERROR(VLOOKUP($A437,[5]실험의뢰_장진영!$A:$M,5,0),"")</f>
        <v>0</v>
      </c>
      <c r="N437" s="104" t="str">
        <f>IFERROR(VLOOKUP($A437,[5]실험의뢰_장진영!$A:$M,4,0),"")</f>
        <v>라보 60ml 캡 찍은 뒤 장식 조립해보고 틈보이면 60ml 장식도 키워서 찍어야 할 수 있습니다</v>
      </c>
      <c r="O437" s="132">
        <f>IFERROR(VLOOKUP($A437,[5]실험의뢰_장진영!$A:$M,6,0),"")</f>
        <v>0</v>
      </c>
      <c r="P437" s="99" t="str">
        <f>IFERROR(VLOOKUP(실험지시[[#This Row],[제품명]],BOM_개발품목[[제품명]:[사양]],7,0),"")</f>
        <v/>
      </c>
      <c r="Q437" s="104">
        <f>IFERROR(VLOOKUP($A437,[5]실험의뢰_장진영!$A:$M,11,0),"")</f>
        <v>0</v>
      </c>
      <c r="R437" s="104">
        <f>IFERROR(VLOOKUP($A437,[5]실험의뢰_장진영!$A:$M,12,0),"")</f>
        <v>0</v>
      </c>
      <c r="S437" s="104">
        <f>IFERROR(VLOOKUP($A437,[5]실험의뢰_장진영!$A:$M,13,0),"")</f>
        <v>0</v>
      </c>
      <c r="T437" s="58"/>
    </row>
    <row r="438" spans="1:20" ht="30" customHeight="1">
      <c r="A438" s="99" t="str">
        <f>실험지시[[#This Row],[품목코드]] &amp; "_" &amp; TEXT(실험지시[[#This Row],[실험지시일자]], "yyyymmdd")</f>
        <v>_19000100</v>
      </c>
      <c r="B438"/>
      <c r="C438" s="99" t="str">
        <f>IFERROR(VLOOKUP(실험지시[[#This Row],[제품명]],BOM_개발품목[[제품명]:[사양]],5,0),"")</f>
        <v/>
      </c>
      <c r="D438" s="112" t="str">
        <f>IFERROR(VLOOKUP(실험지시[[#This Row],[제품명]],BOM_개발품목[[제품명]:[사양]],4,0),"")</f>
        <v/>
      </c>
      <c r="E438" s="1"/>
      <c r="I438" s="3"/>
      <c r="L438" s="129" t="str">
        <f>실험지시[[#This Row],[금형코드]]</f>
        <v/>
      </c>
      <c r="M438" s="131">
        <f>IFERROR(VLOOKUP($A438,[5]실험의뢰_장진영!$A:$M,5,0),"")</f>
        <v>0</v>
      </c>
      <c r="N438" s="104" t="str">
        <f>IFERROR(VLOOKUP($A438,[5]실험의뢰_장진영!$A:$M,4,0),"")</f>
        <v>라보 60ml 캡 찍은 뒤 장식 조립해보고 틈보이면 60ml 장식도 키워서 찍어야 할 수 있습니다</v>
      </c>
      <c r="O438" s="132">
        <f>IFERROR(VLOOKUP($A438,[5]실험의뢰_장진영!$A:$M,6,0),"")</f>
        <v>0</v>
      </c>
      <c r="P438" s="99" t="str">
        <f>IFERROR(VLOOKUP(실험지시[[#This Row],[제품명]],BOM_개발품목[[제품명]:[사양]],7,0),"")</f>
        <v/>
      </c>
      <c r="Q438" s="104">
        <f>IFERROR(VLOOKUP($A438,[5]실험의뢰_장진영!$A:$M,11,0),"")</f>
        <v>0</v>
      </c>
      <c r="R438" s="104">
        <f>IFERROR(VLOOKUP($A438,[5]실험의뢰_장진영!$A:$M,12,0),"")</f>
        <v>0</v>
      </c>
      <c r="S438" s="104">
        <f>IFERROR(VLOOKUP($A438,[5]실험의뢰_장진영!$A:$M,13,0),"")</f>
        <v>0</v>
      </c>
      <c r="T438" s="58"/>
    </row>
    <row r="439" spans="1:20" ht="30" customHeight="1">
      <c r="A439" s="99" t="str">
        <f>실험지시[[#This Row],[품목코드]] &amp; "_" &amp; TEXT(실험지시[[#This Row],[실험지시일자]], "yyyymmdd")</f>
        <v>_19000100</v>
      </c>
      <c r="B439"/>
      <c r="C439" s="99" t="str">
        <f>IFERROR(VLOOKUP(실험지시[[#This Row],[제품명]],BOM_개발품목[[제품명]:[사양]],5,0),"")</f>
        <v/>
      </c>
      <c r="D439" s="112" t="str">
        <f>IFERROR(VLOOKUP(실험지시[[#This Row],[제품명]],BOM_개발품목[[제품명]:[사양]],4,0),"")</f>
        <v/>
      </c>
      <c r="E439" s="1"/>
      <c r="I439" s="3"/>
      <c r="L439" s="129" t="str">
        <f>실험지시[[#This Row],[금형코드]]</f>
        <v/>
      </c>
      <c r="M439" s="131">
        <f>IFERROR(VLOOKUP($A439,[5]실험의뢰_장진영!$A:$M,5,0),"")</f>
        <v>0</v>
      </c>
      <c r="N439" s="104" t="str">
        <f>IFERROR(VLOOKUP($A439,[5]실험의뢰_장진영!$A:$M,4,0),"")</f>
        <v>라보 60ml 캡 찍은 뒤 장식 조립해보고 틈보이면 60ml 장식도 키워서 찍어야 할 수 있습니다</v>
      </c>
      <c r="O439" s="132">
        <f>IFERROR(VLOOKUP($A439,[5]실험의뢰_장진영!$A:$M,6,0),"")</f>
        <v>0</v>
      </c>
      <c r="P439" s="99" t="str">
        <f>IFERROR(VLOOKUP(실험지시[[#This Row],[제품명]],BOM_개발품목[[제품명]:[사양]],7,0),"")</f>
        <v/>
      </c>
      <c r="Q439" s="104">
        <f>IFERROR(VLOOKUP($A439,[5]실험의뢰_장진영!$A:$M,11,0),"")</f>
        <v>0</v>
      </c>
      <c r="R439" s="104">
        <f>IFERROR(VLOOKUP($A439,[5]실험의뢰_장진영!$A:$M,12,0),"")</f>
        <v>0</v>
      </c>
      <c r="S439" s="104">
        <f>IFERROR(VLOOKUP($A439,[5]실험의뢰_장진영!$A:$M,13,0),"")</f>
        <v>0</v>
      </c>
      <c r="T439" s="58"/>
    </row>
    <row r="440" spans="1:20" ht="30" customHeight="1">
      <c r="A440" s="99" t="str">
        <f>실험지시[[#This Row],[품목코드]] &amp; "_" &amp; TEXT(실험지시[[#This Row],[실험지시일자]], "yyyymmdd")</f>
        <v>_19000100</v>
      </c>
      <c r="B440"/>
      <c r="C440" s="99" t="str">
        <f>IFERROR(VLOOKUP(실험지시[[#This Row],[제품명]],BOM_개발품목[[제품명]:[사양]],5,0),"")</f>
        <v/>
      </c>
      <c r="D440" s="112" t="str">
        <f>IFERROR(VLOOKUP(실험지시[[#This Row],[제품명]],BOM_개발품목[[제품명]:[사양]],4,0),"")</f>
        <v/>
      </c>
      <c r="E440" s="1"/>
      <c r="I440" s="3"/>
      <c r="L440" s="129" t="str">
        <f>실험지시[[#This Row],[금형코드]]</f>
        <v/>
      </c>
      <c r="M440" s="131">
        <f>IFERROR(VLOOKUP($A440,[5]실험의뢰_장진영!$A:$M,5,0),"")</f>
        <v>0</v>
      </c>
      <c r="N440" s="104" t="str">
        <f>IFERROR(VLOOKUP($A440,[5]실험의뢰_장진영!$A:$M,4,0),"")</f>
        <v>라보 60ml 캡 찍은 뒤 장식 조립해보고 틈보이면 60ml 장식도 키워서 찍어야 할 수 있습니다</v>
      </c>
      <c r="O440" s="132">
        <f>IFERROR(VLOOKUP($A440,[5]실험의뢰_장진영!$A:$M,6,0),"")</f>
        <v>0</v>
      </c>
      <c r="P440" s="99" t="str">
        <f>IFERROR(VLOOKUP(실험지시[[#This Row],[제품명]],BOM_개발품목[[제품명]:[사양]],7,0),"")</f>
        <v/>
      </c>
      <c r="Q440" s="104">
        <f>IFERROR(VLOOKUP($A440,[5]실험의뢰_장진영!$A:$M,11,0),"")</f>
        <v>0</v>
      </c>
      <c r="R440" s="104">
        <f>IFERROR(VLOOKUP($A440,[5]실험의뢰_장진영!$A:$M,12,0),"")</f>
        <v>0</v>
      </c>
      <c r="S440" s="104">
        <f>IFERROR(VLOOKUP($A440,[5]실험의뢰_장진영!$A:$M,13,0),"")</f>
        <v>0</v>
      </c>
      <c r="T440" s="58"/>
    </row>
    <row r="441" spans="1:20" ht="30" customHeight="1">
      <c r="A441" s="99" t="str">
        <f>실험지시[[#This Row],[품목코드]] &amp; "_" &amp; TEXT(실험지시[[#This Row],[실험지시일자]], "yyyymmdd")</f>
        <v>_19000100</v>
      </c>
      <c r="B441"/>
      <c r="C441" s="99" t="str">
        <f>IFERROR(VLOOKUP(실험지시[[#This Row],[제품명]],BOM_개발품목[[제품명]:[사양]],5,0),"")</f>
        <v/>
      </c>
      <c r="D441" s="112" t="str">
        <f>IFERROR(VLOOKUP(실험지시[[#This Row],[제품명]],BOM_개발품목[[제품명]:[사양]],4,0),"")</f>
        <v/>
      </c>
      <c r="E441" s="1"/>
      <c r="I441" s="3"/>
      <c r="L441" s="129" t="str">
        <f>실험지시[[#This Row],[금형코드]]</f>
        <v/>
      </c>
      <c r="M441" s="131">
        <f>IFERROR(VLOOKUP($A441,[5]실험의뢰_장진영!$A:$M,5,0),"")</f>
        <v>0</v>
      </c>
      <c r="N441" s="104" t="str">
        <f>IFERROR(VLOOKUP($A441,[5]실험의뢰_장진영!$A:$M,4,0),"")</f>
        <v>라보 60ml 캡 찍은 뒤 장식 조립해보고 틈보이면 60ml 장식도 키워서 찍어야 할 수 있습니다</v>
      </c>
      <c r="O441" s="132">
        <f>IFERROR(VLOOKUP($A441,[5]실험의뢰_장진영!$A:$M,6,0),"")</f>
        <v>0</v>
      </c>
      <c r="P441" s="99" t="str">
        <f>IFERROR(VLOOKUP(실험지시[[#This Row],[제품명]],BOM_개발품목[[제품명]:[사양]],7,0),"")</f>
        <v/>
      </c>
      <c r="Q441" s="104">
        <f>IFERROR(VLOOKUP($A441,[5]실험의뢰_장진영!$A:$M,11,0),"")</f>
        <v>0</v>
      </c>
      <c r="R441" s="104">
        <f>IFERROR(VLOOKUP($A441,[5]실험의뢰_장진영!$A:$M,12,0),"")</f>
        <v>0</v>
      </c>
      <c r="S441" s="104">
        <f>IFERROR(VLOOKUP($A441,[5]실험의뢰_장진영!$A:$M,13,0),"")</f>
        <v>0</v>
      </c>
      <c r="T441" s="58"/>
    </row>
    <row r="442" spans="1:20" ht="30" customHeight="1">
      <c r="A442" s="99" t="str">
        <f>실험지시[[#This Row],[품목코드]] &amp; "_" &amp; TEXT(실험지시[[#This Row],[실험지시일자]], "yyyymmdd")</f>
        <v>_19000100</v>
      </c>
      <c r="B442"/>
      <c r="C442" s="99" t="str">
        <f>IFERROR(VLOOKUP(실험지시[[#This Row],[제품명]],BOM_개발품목[[제품명]:[사양]],5,0),"")</f>
        <v/>
      </c>
      <c r="D442" s="112" t="str">
        <f>IFERROR(VLOOKUP(실험지시[[#This Row],[제품명]],BOM_개발품목[[제품명]:[사양]],4,0),"")</f>
        <v/>
      </c>
      <c r="E442" s="1"/>
      <c r="I442" s="3"/>
      <c r="L442" s="129" t="str">
        <f>실험지시[[#This Row],[금형코드]]</f>
        <v/>
      </c>
      <c r="M442" s="131">
        <f>IFERROR(VLOOKUP($A442,[5]실험의뢰_장진영!$A:$M,5,0),"")</f>
        <v>0</v>
      </c>
      <c r="N442" s="104" t="str">
        <f>IFERROR(VLOOKUP($A442,[5]실험의뢰_장진영!$A:$M,4,0),"")</f>
        <v>라보 60ml 캡 찍은 뒤 장식 조립해보고 틈보이면 60ml 장식도 키워서 찍어야 할 수 있습니다</v>
      </c>
      <c r="O442" s="132">
        <f>IFERROR(VLOOKUP($A442,[5]실험의뢰_장진영!$A:$M,6,0),"")</f>
        <v>0</v>
      </c>
      <c r="P442" s="99" t="str">
        <f>IFERROR(VLOOKUP(실험지시[[#This Row],[제품명]],BOM_개발품목[[제품명]:[사양]],7,0),"")</f>
        <v/>
      </c>
      <c r="Q442" s="104">
        <f>IFERROR(VLOOKUP($A442,[5]실험의뢰_장진영!$A:$M,11,0),"")</f>
        <v>0</v>
      </c>
      <c r="R442" s="104">
        <f>IFERROR(VLOOKUP($A442,[5]실험의뢰_장진영!$A:$M,12,0),"")</f>
        <v>0</v>
      </c>
      <c r="S442" s="104">
        <f>IFERROR(VLOOKUP($A442,[5]실험의뢰_장진영!$A:$M,13,0),"")</f>
        <v>0</v>
      </c>
      <c r="T442" s="58"/>
    </row>
    <row r="443" spans="1:20" ht="30" customHeight="1">
      <c r="A443" s="99" t="str">
        <f>실험지시[[#This Row],[품목코드]] &amp; "_" &amp; TEXT(실험지시[[#This Row],[실험지시일자]], "yyyymmdd")</f>
        <v>_19000100</v>
      </c>
      <c r="B443"/>
      <c r="C443" s="99" t="str">
        <f>IFERROR(VLOOKUP(실험지시[[#This Row],[제품명]],BOM_개발품목[[제품명]:[사양]],5,0),"")</f>
        <v/>
      </c>
      <c r="D443" s="112" t="str">
        <f>IFERROR(VLOOKUP(실험지시[[#This Row],[제품명]],BOM_개발품목[[제품명]:[사양]],4,0),"")</f>
        <v/>
      </c>
      <c r="E443" s="1"/>
      <c r="I443" s="3"/>
      <c r="L443" s="129" t="str">
        <f>실험지시[[#This Row],[금형코드]]</f>
        <v/>
      </c>
      <c r="M443" s="131">
        <f>IFERROR(VLOOKUP($A443,[5]실험의뢰_장진영!$A:$M,5,0),"")</f>
        <v>0</v>
      </c>
      <c r="N443" s="104" t="str">
        <f>IFERROR(VLOOKUP($A443,[5]실험의뢰_장진영!$A:$M,4,0),"")</f>
        <v>라보 60ml 캡 찍은 뒤 장식 조립해보고 틈보이면 60ml 장식도 키워서 찍어야 할 수 있습니다</v>
      </c>
      <c r="O443" s="132">
        <f>IFERROR(VLOOKUP($A443,[5]실험의뢰_장진영!$A:$M,6,0),"")</f>
        <v>0</v>
      </c>
      <c r="P443" s="99" t="str">
        <f>IFERROR(VLOOKUP(실험지시[[#This Row],[제품명]],BOM_개발품목[[제품명]:[사양]],7,0),"")</f>
        <v/>
      </c>
      <c r="Q443" s="104">
        <f>IFERROR(VLOOKUP($A443,[5]실험의뢰_장진영!$A:$M,11,0),"")</f>
        <v>0</v>
      </c>
      <c r="R443" s="104">
        <f>IFERROR(VLOOKUP($A443,[5]실험의뢰_장진영!$A:$M,12,0),"")</f>
        <v>0</v>
      </c>
      <c r="S443" s="104">
        <f>IFERROR(VLOOKUP($A443,[5]실험의뢰_장진영!$A:$M,13,0),"")</f>
        <v>0</v>
      </c>
      <c r="T443" s="58"/>
    </row>
    <row r="444" spans="1:20" ht="30" customHeight="1">
      <c r="A444" s="99" t="str">
        <f>실험지시[[#This Row],[품목코드]] &amp; "_" &amp; TEXT(실험지시[[#This Row],[실험지시일자]], "yyyymmdd")</f>
        <v>_19000100</v>
      </c>
      <c r="B444"/>
      <c r="C444" s="99" t="str">
        <f>IFERROR(VLOOKUP(실험지시[[#This Row],[제품명]],BOM_개발품목[[제품명]:[사양]],5,0),"")</f>
        <v/>
      </c>
      <c r="D444" s="112" t="str">
        <f>IFERROR(VLOOKUP(실험지시[[#This Row],[제품명]],BOM_개발품목[[제품명]:[사양]],4,0),"")</f>
        <v/>
      </c>
      <c r="E444" s="1"/>
      <c r="I444" s="3"/>
      <c r="L444" s="129" t="str">
        <f>실험지시[[#This Row],[금형코드]]</f>
        <v/>
      </c>
      <c r="M444" s="131">
        <f>IFERROR(VLOOKUP($A444,[5]실험의뢰_장진영!$A:$M,5,0),"")</f>
        <v>0</v>
      </c>
      <c r="N444" s="104" t="str">
        <f>IFERROR(VLOOKUP($A444,[5]실험의뢰_장진영!$A:$M,4,0),"")</f>
        <v>라보 60ml 캡 찍은 뒤 장식 조립해보고 틈보이면 60ml 장식도 키워서 찍어야 할 수 있습니다</v>
      </c>
      <c r="O444" s="132">
        <f>IFERROR(VLOOKUP($A444,[5]실험의뢰_장진영!$A:$M,6,0),"")</f>
        <v>0</v>
      </c>
      <c r="P444" s="99" t="str">
        <f>IFERROR(VLOOKUP(실험지시[[#This Row],[제품명]],BOM_개발품목[[제품명]:[사양]],7,0),"")</f>
        <v/>
      </c>
      <c r="Q444" s="104">
        <f>IFERROR(VLOOKUP($A444,[5]실험의뢰_장진영!$A:$M,11,0),"")</f>
        <v>0</v>
      </c>
      <c r="R444" s="104">
        <f>IFERROR(VLOOKUP($A444,[5]실험의뢰_장진영!$A:$M,12,0),"")</f>
        <v>0</v>
      </c>
      <c r="S444" s="104">
        <f>IFERROR(VLOOKUP($A444,[5]실험의뢰_장진영!$A:$M,13,0),"")</f>
        <v>0</v>
      </c>
      <c r="T444" s="58"/>
    </row>
    <row r="445" spans="1:20" ht="30" customHeight="1">
      <c r="A445" s="99" t="str">
        <f>실험지시[[#This Row],[품목코드]] &amp; "_" &amp; TEXT(실험지시[[#This Row],[실험지시일자]], "yyyymmdd")</f>
        <v>_19000100</v>
      </c>
      <c r="B445"/>
      <c r="C445" s="99" t="str">
        <f>IFERROR(VLOOKUP(실험지시[[#This Row],[제품명]],BOM_개발품목[[제품명]:[사양]],5,0),"")</f>
        <v/>
      </c>
      <c r="D445" s="112" t="str">
        <f>IFERROR(VLOOKUP(실험지시[[#This Row],[제품명]],BOM_개발품목[[제품명]:[사양]],4,0),"")</f>
        <v/>
      </c>
      <c r="E445" s="1"/>
      <c r="I445" s="3"/>
      <c r="L445" s="129" t="str">
        <f>실험지시[[#This Row],[금형코드]]</f>
        <v/>
      </c>
      <c r="M445" s="131">
        <f>IFERROR(VLOOKUP($A445,[5]실험의뢰_장진영!$A:$M,5,0),"")</f>
        <v>0</v>
      </c>
      <c r="N445" s="104" t="str">
        <f>IFERROR(VLOOKUP($A445,[5]실험의뢰_장진영!$A:$M,4,0),"")</f>
        <v>라보 60ml 캡 찍은 뒤 장식 조립해보고 틈보이면 60ml 장식도 키워서 찍어야 할 수 있습니다</v>
      </c>
      <c r="O445" s="132">
        <f>IFERROR(VLOOKUP($A445,[5]실험의뢰_장진영!$A:$M,6,0),"")</f>
        <v>0</v>
      </c>
      <c r="P445" s="99" t="str">
        <f>IFERROR(VLOOKUP(실험지시[[#This Row],[제품명]],BOM_개발품목[[제품명]:[사양]],7,0),"")</f>
        <v/>
      </c>
      <c r="Q445" s="104">
        <f>IFERROR(VLOOKUP($A445,[5]실험의뢰_장진영!$A:$M,11,0),"")</f>
        <v>0</v>
      </c>
      <c r="R445" s="104">
        <f>IFERROR(VLOOKUP($A445,[5]실험의뢰_장진영!$A:$M,12,0),"")</f>
        <v>0</v>
      </c>
      <c r="S445" s="104">
        <f>IFERROR(VLOOKUP($A445,[5]실험의뢰_장진영!$A:$M,13,0),"")</f>
        <v>0</v>
      </c>
      <c r="T445" s="58"/>
    </row>
    <row r="446" spans="1:20" ht="30" customHeight="1">
      <c r="A446" s="99" t="str">
        <f>실험지시[[#This Row],[품목코드]] &amp; "_" &amp; TEXT(실험지시[[#This Row],[실험지시일자]], "yyyymmdd")</f>
        <v>_19000100</v>
      </c>
      <c r="B446"/>
      <c r="C446" s="99" t="str">
        <f>IFERROR(VLOOKUP(실험지시[[#This Row],[제품명]],BOM_개발품목[[제품명]:[사양]],5,0),"")</f>
        <v/>
      </c>
      <c r="D446" s="112" t="str">
        <f>IFERROR(VLOOKUP(실험지시[[#This Row],[제품명]],BOM_개발품목[[제품명]:[사양]],4,0),"")</f>
        <v/>
      </c>
      <c r="E446" s="1"/>
      <c r="I446" s="3"/>
      <c r="L446" s="129" t="str">
        <f>실험지시[[#This Row],[금형코드]]</f>
        <v/>
      </c>
      <c r="M446" s="131">
        <f>IFERROR(VLOOKUP($A446,[5]실험의뢰_장진영!$A:$M,5,0),"")</f>
        <v>0</v>
      </c>
      <c r="N446" s="104" t="str">
        <f>IFERROR(VLOOKUP($A446,[5]실험의뢰_장진영!$A:$M,4,0),"")</f>
        <v>라보 60ml 캡 찍은 뒤 장식 조립해보고 틈보이면 60ml 장식도 키워서 찍어야 할 수 있습니다</v>
      </c>
      <c r="O446" s="132">
        <f>IFERROR(VLOOKUP($A446,[5]실험의뢰_장진영!$A:$M,6,0),"")</f>
        <v>0</v>
      </c>
      <c r="P446" s="99" t="str">
        <f>IFERROR(VLOOKUP(실험지시[[#This Row],[제품명]],BOM_개발품목[[제품명]:[사양]],7,0),"")</f>
        <v/>
      </c>
      <c r="Q446" s="104">
        <f>IFERROR(VLOOKUP($A446,[5]실험의뢰_장진영!$A:$M,11,0),"")</f>
        <v>0</v>
      </c>
      <c r="R446" s="104">
        <f>IFERROR(VLOOKUP($A446,[5]실험의뢰_장진영!$A:$M,12,0),"")</f>
        <v>0</v>
      </c>
      <c r="S446" s="104">
        <f>IFERROR(VLOOKUP($A446,[5]실험의뢰_장진영!$A:$M,13,0),"")</f>
        <v>0</v>
      </c>
      <c r="T446" s="58"/>
    </row>
    <row r="447" spans="1:20" ht="30" customHeight="1">
      <c r="A447" s="99" t="str">
        <f>실험지시[[#This Row],[품목코드]] &amp; "_" &amp; TEXT(실험지시[[#This Row],[실험지시일자]], "yyyymmdd")</f>
        <v>_19000100</v>
      </c>
      <c r="B447"/>
      <c r="C447" s="99" t="str">
        <f>IFERROR(VLOOKUP(실험지시[[#This Row],[제품명]],BOM_개발품목[[제품명]:[사양]],5,0),"")</f>
        <v/>
      </c>
      <c r="D447" s="112" t="str">
        <f>IFERROR(VLOOKUP(실험지시[[#This Row],[제품명]],BOM_개발품목[[제품명]:[사양]],4,0),"")</f>
        <v/>
      </c>
      <c r="E447" s="1"/>
      <c r="I447" s="3"/>
      <c r="L447" s="129" t="str">
        <f>실험지시[[#This Row],[금형코드]]</f>
        <v/>
      </c>
      <c r="M447" s="131">
        <f>IFERROR(VLOOKUP($A447,[5]실험의뢰_장진영!$A:$M,5,0),"")</f>
        <v>0</v>
      </c>
      <c r="N447" s="104" t="str">
        <f>IFERROR(VLOOKUP($A447,[5]실험의뢰_장진영!$A:$M,4,0),"")</f>
        <v>라보 60ml 캡 찍은 뒤 장식 조립해보고 틈보이면 60ml 장식도 키워서 찍어야 할 수 있습니다</v>
      </c>
      <c r="O447" s="132">
        <f>IFERROR(VLOOKUP($A447,[5]실험의뢰_장진영!$A:$M,6,0),"")</f>
        <v>0</v>
      </c>
      <c r="P447" s="99" t="str">
        <f>IFERROR(VLOOKUP(실험지시[[#This Row],[제품명]],BOM_개발품목[[제품명]:[사양]],7,0),"")</f>
        <v/>
      </c>
      <c r="Q447" s="104">
        <f>IFERROR(VLOOKUP($A447,[5]실험의뢰_장진영!$A:$M,11,0),"")</f>
        <v>0</v>
      </c>
      <c r="R447" s="104">
        <f>IFERROR(VLOOKUP($A447,[5]실험의뢰_장진영!$A:$M,12,0),"")</f>
        <v>0</v>
      </c>
      <c r="S447" s="104">
        <f>IFERROR(VLOOKUP($A447,[5]실험의뢰_장진영!$A:$M,13,0),"")</f>
        <v>0</v>
      </c>
      <c r="T447" s="58"/>
    </row>
    <row r="448" spans="1:20" ht="30" customHeight="1">
      <c r="A448" s="99" t="str">
        <f>실험지시[[#This Row],[품목코드]] &amp; "_" &amp; TEXT(실험지시[[#This Row],[실험지시일자]], "yyyymmdd")</f>
        <v>_19000100</v>
      </c>
      <c r="B448"/>
      <c r="C448" s="99" t="str">
        <f>IFERROR(VLOOKUP(실험지시[[#This Row],[제품명]],BOM_개발품목[[제품명]:[사양]],5,0),"")</f>
        <v/>
      </c>
      <c r="D448" s="112" t="str">
        <f>IFERROR(VLOOKUP(실험지시[[#This Row],[제품명]],BOM_개발품목[[제품명]:[사양]],4,0),"")</f>
        <v/>
      </c>
      <c r="E448" s="1"/>
      <c r="I448" s="3"/>
      <c r="L448" s="129" t="str">
        <f>실험지시[[#This Row],[금형코드]]</f>
        <v/>
      </c>
      <c r="M448" s="131">
        <f>IFERROR(VLOOKUP($A448,[5]실험의뢰_장진영!$A:$M,5,0),"")</f>
        <v>0</v>
      </c>
      <c r="N448" s="104" t="str">
        <f>IFERROR(VLOOKUP($A448,[5]실험의뢰_장진영!$A:$M,4,0),"")</f>
        <v>라보 60ml 캡 찍은 뒤 장식 조립해보고 틈보이면 60ml 장식도 키워서 찍어야 할 수 있습니다</v>
      </c>
      <c r="O448" s="132">
        <f>IFERROR(VLOOKUP($A448,[5]실험의뢰_장진영!$A:$M,6,0),"")</f>
        <v>0</v>
      </c>
      <c r="P448" s="99" t="str">
        <f>IFERROR(VLOOKUP(실험지시[[#This Row],[제품명]],BOM_개발품목[[제품명]:[사양]],7,0),"")</f>
        <v/>
      </c>
      <c r="Q448" s="104">
        <f>IFERROR(VLOOKUP($A448,[5]실험의뢰_장진영!$A:$M,11,0),"")</f>
        <v>0</v>
      </c>
      <c r="R448" s="104">
        <f>IFERROR(VLOOKUP($A448,[5]실험의뢰_장진영!$A:$M,12,0),"")</f>
        <v>0</v>
      </c>
      <c r="S448" s="104">
        <f>IFERROR(VLOOKUP($A448,[5]실험의뢰_장진영!$A:$M,13,0),"")</f>
        <v>0</v>
      </c>
      <c r="T448" s="58"/>
    </row>
    <row r="449" spans="1:20" ht="30" customHeight="1">
      <c r="A449" s="99" t="str">
        <f>실험지시[[#This Row],[품목코드]] &amp; "_" &amp; TEXT(실험지시[[#This Row],[실험지시일자]], "yyyymmdd")</f>
        <v>_19000100</v>
      </c>
      <c r="B449"/>
      <c r="C449" s="99" t="str">
        <f>IFERROR(VLOOKUP(실험지시[[#This Row],[제품명]],BOM_개발품목[[제품명]:[사양]],5,0),"")</f>
        <v/>
      </c>
      <c r="D449" s="112" t="str">
        <f>IFERROR(VLOOKUP(실험지시[[#This Row],[제품명]],BOM_개발품목[[제품명]:[사양]],4,0),"")</f>
        <v/>
      </c>
      <c r="E449" s="1"/>
      <c r="I449" s="3"/>
      <c r="L449" s="129" t="str">
        <f>실험지시[[#This Row],[금형코드]]</f>
        <v/>
      </c>
      <c r="M449" s="131">
        <f>IFERROR(VLOOKUP($A449,[5]실험의뢰_장진영!$A:$M,5,0),"")</f>
        <v>0</v>
      </c>
      <c r="N449" s="104" t="str">
        <f>IFERROR(VLOOKUP($A449,[5]실험의뢰_장진영!$A:$M,4,0),"")</f>
        <v>라보 60ml 캡 찍은 뒤 장식 조립해보고 틈보이면 60ml 장식도 키워서 찍어야 할 수 있습니다</v>
      </c>
      <c r="O449" s="132">
        <f>IFERROR(VLOOKUP($A449,[5]실험의뢰_장진영!$A:$M,6,0),"")</f>
        <v>0</v>
      </c>
      <c r="P449" s="99" t="str">
        <f>IFERROR(VLOOKUP(실험지시[[#This Row],[제품명]],BOM_개발품목[[제품명]:[사양]],7,0),"")</f>
        <v/>
      </c>
      <c r="Q449" s="104">
        <f>IFERROR(VLOOKUP($A449,[5]실험의뢰_장진영!$A:$M,11,0),"")</f>
        <v>0</v>
      </c>
      <c r="R449" s="104">
        <f>IFERROR(VLOOKUP($A449,[5]실험의뢰_장진영!$A:$M,12,0),"")</f>
        <v>0</v>
      </c>
      <c r="S449" s="104">
        <f>IFERROR(VLOOKUP($A449,[5]실험의뢰_장진영!$A:$M,13,0),"")</f>
        <v>0</v>
      </c>
      <c r="T449" s="58"/>
    </row>
    <row r="450" spans="1:20" ht="30" customHeight="1">
      <c r="A450" s="99" t="str">
        <f>실험지시[[#This Row],[품목코드]] &amp; "_" &amp; TEXT(실험지시[[#This Row],[실험지시일자]], "yyyymmdd")</f>
        <v>_19000100</v>
      </c>
      <c r="B450"/>
      <c r="C450" s="99" t="str">
        <f>IFERROR(VLOOKUP(실험지시[[#This Row],[제품명]],BOM_개발품목[[제품명]:[사양]],5,0),"")</f>
        <v/>
      </c>
      <c r="D450" s="112" t="str">
        <f>IFERROR(VLOOKUP(실험지시[[#This Row],[제품명]],BOM_개발품목[[제품명]:[사양]],4,0),"")</f>
        <v/>
      </c>
      <c r="E450" s="1"/>
      <c r="I450" s="3"/>
      <c r="L450" s="129" t="str">
        <f>실험지시[[#This Row],[금형코드]]</f>
        <v/>
      </c>
      <c r="M450" s="131">
        <f>IFERROR(VLOOKUP($A450,[5]실험의뢰_장진영!$A:$M,5,0),"")</f>
        <v>0</v>
      </c>
      <c r="N450" s="104" t="str">
        <f>IFERROR(VLOOKUP($A450,[5]실험의뢰_장진영!$A:$M,4,0),"")</f>
        <v>라보 60ml 캡 찍은 뒤 장식 조립해보고 틈보이면 60ml 장식도 키워서 찍어야 할 수 있습니다</v>
      </c>
      <c r="O450" s="132">
        <f>IFERROR(VLOOKUP($A450,[5]실험의뢰_장진영!$A:$M,6,0),"")</f>
        <v>0</v>
      </c>
      <c r="P450" s="99" t="str">
        <f>IFERROR(VLOOKUP(실험지시[[#This Row],[제품명]],BOM_개발품목[[제품명]:[사양]],7,0),"")</f>
        <v/>
      </c>
      <c r="Q450" s="104">
        <f>IFERROR(VLOOKUP($A450,[5]실험의뢰_장진영!$A:$M,11,0),"")</f>
        <v>0</v>
      </c>
      <c r="R450" s="104">
        <f>IFERROR(VLOOKUP($A450,[5]실험의뢰_장진영!$A:$M,12,0),"")</f>
        <v>0</v>
      </c>
      <c r="S450" s="104">
        <f>IFERROR(VLOOKUP($A450,[5]실험의뢰_장진영!$A:$M,13,0),"")</f>
        <v>0</v>
      </c>
      <c r="T450" s="58"/>
    </row>
    <row r="451" spans="1:20" ht="30" customHeight="1">
      <c r="A451" s="99" t="str">
        <f>실험지시[[#This Row],[품목코드]] &amp; "_" &amp; TEXT(실험지시[[#This Row],[실험지시일자]], "yyyymmdd")</f>
        <v>_19000100</v>
      </c>
      <c r="B451"/>
      <c r="C451" s="99" t="str">
        <f>IFERROR(VLOOKUP(실험지시[[#This Row],[제품명]],BOM_개발품목[[제품명]:[사양]],5,0),"")</f>
        <v/>
      </c>
      <c r="D451" s="112" t="str">
        <f>IFERROR(VLOOKUP(실험지시[[#This Row],[제품명]],BOM_개발품목[[제품명]:[사양]],4,0),"")</f>
        <v/>
      </c>
      <c r="E451" s="1"/>
      <c r="I451" s="3"/>
      <c r="L451" s="129" t="str">
        <f>실험지시[[#This Row],[금형코드]]</f>
        <v/>
      </c>
      <c r="M451" s="131">
        <f>IFERROR(VLOOKUP($A451,[5]실험의뢰_장진영!$A:$M,5,0),"")</f>
        <v>0</v>
      </c>
      <c r="N451" s="104" t="str">
        <f>IFERROR(VLOOKUP($A451,[5]실험의뢰_장진영!$A:$M,4,0),"")</f>
        <v>라보 60ml 캡 찍은 뒤 장식 조립해보고 틈보이면 60ml 장식도 키워서 찍어야 할 수 있습니다</v>
      </c>
      <c r="O451" s="132">
        <f>IFERROR(VLOOKUP($A451,[5]실험의뢰_장진영!$A:$M,6,0),"")</f>
        <v>0</v>
      </c>
      <c r="P451" s="99" t="str">
        <f>IFERROR(VLOOKUP(실험지시[[#This Row],[제품명]],BOM_개발품목[[제품명]:[사양]],7,0),"")</f>
        <v/>
      </c>
      <c r="Q451" s="104">
        <f>IFERROR(VLOOKUP($A451,[5]실험의뢰_장진영!$A:$M,11,0),"")</f>
        <v>0</v>
      </c>
      <c r="R451" s="104">
        <f>IFERROR(VLOOKUP($A451,[5]실험의뢰_장진영!$A:$M,12,0),"")</f>
        <v>0</v>
      </c>
      <c r="S451" s="104">
        <f>IFERROR(VLOOKUP($A451,[5]실험의뢰_장진영!$A:$M,13,0),"")</f>
        <v>0</v>
      </c>
      <c r="T451" s="58"/>
    </row>
    <row r="452" spans="1:20" ht="30" customHeight="1">
      <c r="A452" s="99" t="str">
        <f>실험지시[[#This Row],[품목코드]] &amp; "_" &amp; TEXT(실험지시[[#This Row],[실험지시일자]], "yyyymmdd")</f>
        <v>_19000100</v>
      </c>
      <c r="B452"/>
      <c r="C452" s="99" t="str">
        <f>IFERROR(VLOOKUP(실험지시[[#This Row],[제품명]],BOM_개발품목[[제품명]:[사양]],5,0),"")</f>
        <v/>
      </c>
      <c r="D452" s="112" t="str">
        <f>IFERROR(VLOOKUP(실험지시[[#This Row],[제품명]],BOM_개발품목[[제품명]:[사양]],4,0),"")</f>
        <v/>
      </c>
      <c r="E452" s="1"/>
      <c r="I452" s="3"/>
      <c r="L452" s="129" t="str">
        <f>실험지시[[#This Row],[금형코드]]</f>
        <v/>
      </c>
      <c r="M452" s="131">
        <f>IFERROR(VLOOKUP($A452,[5]실험의뢰_장진영!$A:$M,5,0),"")</f>
        <v>0</v>
      </c>
      <c r="N452" s="104" t="str">
        <f>IFERROR(VLOOKUP($A452,[5]실험의뢰_장진영!$A:$M,4,0),"")</f>
        <v>라보 60ml 캡 찍은 뒤 장식 조립해보고 틈보이면 60ml 장식도 키워서 찍어야 할 수 있습니다</v>
      </c>
      <c r="O452" s="132">
        <f>IFERROR(VLOOKUP($A452,[5]실험의뢰_장진영!$A:$M,6,0),"")</f>
        <v>0</v>
      </c>
      <c r="P452" s="99" t="str">
        <f>IFERROR(VLOOKUP(실험지시[[#This Row],[제품명]],BOM_개발품목[[제품명]:[사양]],7,0),"")</f>
        <v/>
      </c>
      <c r="Q452" s="104">
        <f>IFERROR(VLOOKUP($A452,[5]실험의뢰_장진영!$A:$M,11,0),"")</f>
        <v>0</v>
      </c>
      <c r="R452" s="104">
        <f>IFERROR(VLOOKUP($A452,[5]실험의뢰_장진영!$A:$M,12,0),"")</f>
        <v>0</v>
      </c>
      <c r="S452" s="104">
        <f>IFERROR(VLOOKUP($A452,[5]실험의뢰_장진영!$A:$M,13,0),"")</f>
        <v>0</v>
      </c>
      <c r="T452" s="58"/>
    </row>
    <row r="453" spans="1:20" ht="30" customHeight="1">
      <c r="A453" s="99" t="str">
        <f>실험지시[[#This Row],[품목코드]] &amp; "_" &amp; TEXT(실험지시[[#This Row],[실험지시일자]], "yyyymmdd")</f>
        <v>_19000100</v>
      </c>
      <c r="B453"/>
      <c r="C453" s="99" t="str">
        <f>IFERROR(VLOOKUP(실험지시[[#This Row],[제품명]],BOM_개발품목[[제품명]:[사양]],5,0),"")</f>
        <v/>
      </c>
      <c r="D453" s="112" t="str">
        <f>IFERROR(VLOOKUP(실험지시[[#This Row],[제품명]],BOM_개발품목[[제품명]:[사양]],4,0),"")</f>
        <v/>
      </c>
      <c r="E453" s="1"/>
      <c r="I453" s="3"/>
      <c r="L453" s="129" t="str">
        <f>실험지시[[#This Row],[금형코드]]</f>
        <v/>
      </c>
      <c r="M453" s="131">
        <f>IFERROR(VLOOKUP($A453,[5]실험의뢰_장진영!$A:$M,5,0),"")</f>
        <v>0</v>
      </c>
      <c r="N453" s="104" t="str">
        <f>IFERROR(VLOOKUP($A453,[5]실험의뢰_장진영!$A:$M,4,0),"")</f>
        <v>라보 60ml 캡 찍은 뒤 장식 조립해보고 틈보이면 60ml 장식도 키워서 찍어야 할 수 있습니다</v>
      </c>
      <c r="O453" s="132">
        <f>IFERROR(VLOOKUP($A453,[5]실험의뢰_장진영!$A:$M,6,0),"")</f>
        <v>0</v>
      </c>
      <c r="P453" s="99" t="str">
        <f>IFERROR(VLOOKUP(실험지시[[#This Row],[제품명]],BOM_개발품목[[제품명]:[사양]],7,0),"")</f>
        <v/>
      </c>
      <c r="Q453" s="104">
        <f>IFERROR(VLOOKUP($A453,[5]실험의뢰_장진영!$A:$M,11,0),"")</f>
        <v>0</v>
      </c>
      <c r="R453" s="104">
        <f>IFERROR(VLOOKUP($A453,[5]실험의뢰_장진영!$A:$M,12,0),"")</f>
        <v>0</v>
      </c>
      <c r="S453" s="104">
        <f>IFERROR(VLOOKUP($A453,[5]실험의뢰_장진영!$A:$M,13,0),"")</f>
        <v>0</v>
      </c>
      <c r="T453" s="58"/>
    </row>
    <row r="454" spans="1:20" ht="30" customHeight="1">
      <c r="A454" s="99" t="str">
        <f>실험지시[[#This Row],[품목코드]] &amp; "_" &amp; TEXT(실험지시[[#This Row],[실험지시일자]], "yyyymmdd")</f>
        <v>_19000100</v>
      </c>
      <c r="B454"/>
      <c r="C454" s="99" t="str">
        <f>IFERROR(VLOOKUP(실험지시[[#This Row],[제품명]],BOM_개발품목[[제품명]:[사양]],5,0),"")</f>
        <v/>
      </c>
      <c r="D454" s="112" t="str">
        <f>IFERROR(VLOOKUP(실험지시[[#This Row],[제품명]],BOM_개발품목[[제품명]:[사양]],4,0),"")</f>
        <v/>
      </c>
      <c r="E454" s="1"/>
      <c r="I454" s="3"/>
      <c r="L454" s="129" t="str">
        <f>실험지시[[#This Row],[금형코드]]</f>
        <v/>
      </c>
      <c r="M454" s="131">
        <f>IFERROR(VLOOKUP($A454,[5]실험의뢰_장진영!$A:$M,5,0),"")</f>
        <v>0</v>
      </c>
      <c r="N454" s="104" t="str">
        <f>IFERROR(VLOOKUP($A454,[5]실험의뢰_장진영!$A:$M,4,0),"")</f>
        <v>라보 60ml 캡 찍은 뒤 장식 조립해보고 틈보이면 60ml 장식도 키워서 찍어야 할 수 있습니다</v>
      </c>
      <c r="O454" s="132">
        <f>IFERROR(VLOOKUP($A454,[5]실험의뢰_장진영!$A:$M,6,0),"")</f>
        <v>0</v>
      </c>
      <c r="P454" s="99" t="str">
        <f>IFERROR(VLOOKUP(실험지시[[#This Row],[제품명]],BOM_개발품목[[제품명]:[사양]],7,0),"")</f>
        <v/>
      </c>
      <c r="Q454" s="104">
        <f>IFERROR(VLOOKUP($A454,[5]실험의뢰_장진영!$A:$M,11,0),"")</f>
        <v>0</v>
      </c>
      <c r="R454" s="104">
        <f>IFERROR(VLOOKUP($A454,[5]실험의뢰_장진영!$A:$M,12,0),"")</f>
        <v>0</v>
      </c>
      <c r="S454" s="104">
        <f>IFERROR(VLOOKUP($A454,[5]실험의뢰_장진영!$A:$M,13,0),"")</f>
        <v>0</v>
      </c>
      <c r="T454" s="58"/>
    </row>
    <row r="455" spans="1:20" ht="30" customHeight="1">
      <c r="A455" s="99" t="str">
        <f>실험지시[[#This Row],[품목코드]] &amp; "_" &amp; TEXT(실험지시[[#This Row],[실험지시일자]], "yyyymmdd")</f>
        <v>_19000100</v>
      </c>
      <c r="B455"/>
      <c r="C455" s="99" t="str">
        <f>IFERROR(VLOOKUP(실험지시[[#This Row],[제품명]],BOM_개발품목[[제품명]:[사양]],5,0),"")</f>
        <v/>
      </c>
      <c r="D455" s="112" t="str">
        <f>IFERROR(VLOOKUP(실험지시[[#This Row],[제품명]],BOM_개발품목[[제품명]:[사양]],4,0),"")</f>
        <v/>
      </c>
      <c r="E455" s="1"/>
      <c r="I455" s="3"/>
      <c r="L455" s="129" t="str">
        <f>실험지시[[#This Row],[금형코드]]</f>
        <v/>
      </c>
      <c r="M455" s="131">
        <f>IFERROR(VLOOKUP($A455,[5]실험의뢰_장진영!$A:$M,5,0),"")</f>
        <v>0</v>
      </c>
      <c r="N455" s="104" t="str">
        <f>IFERROR(VLOOKUP($A455,[5]실험의뢰_장진영!$A:$M,4,0),"")</f>
        <v>라보 60ml 캡 찍은 뒤 장식 조립해보고 틈보이면 60ml 장식도 키워서 찍어야 할 수 있습니다</v>
      </c>
      <c r="O455" s="132">
        <f>IFERROR(VLOOKUP($A455,[5]실험의뢰_장진영!$A:$M,6,0),"")</f>
        <v>0</v>
      </c>
      <c r="P455" s="99" t="str">
        <f>IFERROR(VLOOKUP(실험지시[[#This Row],[제품명]],BOM_개발품목[[제품명]:[사양]],7,0),"")</f>
        <v/>
      </c>
      <c r="Q455" s="104">
        <f>IFERROR(VLOOKUP($A455,[5]실험의뢰_장진영!$A:$M,11,0),"")</f>
        <v>0</v>
      </c>
      <c r="R455" s="104">
        <f>IFERROR(VLOOKUP($A455,[5]실험의뢰_장진영!$A:$M,12,0),"")</f>
        <v>0</v>
      </c>
      <c r="S455" s="104">
        <f>IFERROR(VLOOKUP($A455,[5]실험의뢰_장진영!$A:$M,13,0),"")</f>
        <v>0</v>
      </c>
      <c r="T455" s="58"/>
    </row>
    <row r="456" spans="1:20" ht="30" customHeight="1">
      <c r="A456" s="99" t="str">
        <f>실험지시[[#This Row],[품목코드]] &amp; "_" &amp; TEXT(실험지시[[#This Row],[실험지시일자]], "yyyymmdd")</f>
        <v>_19000100</v>
      </c>
      <c r="B456"/>
      <c r="C456" s="99" t="str">
        <f>IFERROR(VLOOKUP(실험지시[[#This Row],[제품명]],BOM_개발품목[[제품명]:[사양]],5,0),"")</f>
        <v/>
      </c>
      <c r="D456" s="112" t="str">
        <f>IFERROR(VLOOKUP(실험지시[[#This Row],[제품명]],BOM_개발품목[[제품명]:[사양]],4,0),"")</f>
        <v/>
      </c>
      <c r="E456" s="1"/>
      <c r="I456" s="3"/>
      <c r="L456" s="129" t="str">
        <f>실험지시[[#This Row],[금형코드]]</f>
        <v/>
      </c>
      <c r="M456" s="131">
        <f>IFERROR(VLOOKUP($A456,[5]실험의뢰_장진영!$A:$M,5,0),"")</f>
        <v>0</v>
      </c>
      <c r="N456" s="104" t="str">
        <f>IFERROR(VLOOKUP($A456,[5]실험의뢰_장진영!$A:$M,4,0),"")</f>
        <v>라보 60ml 캡 찍은 뒤 장식 조립해보고 틈보이면 60ml 장식도 키워서 찍어야 할 수 있습니다</v>
      </c>
      <c r="O456" s="132">
        <f>IFERROR(VLOOKUP($A456,[5]실험의뢰_장진영!$A:$M,6,0),"")</f>
        <v>0</v>
      </c>
      <c r="P456" s="99" t="str">
        <f>IFERROR(VLOOKUP(실험지시[[#This Row],[제품명]],BOM_개발품목[[제품명]:[사양]],7,0),"")</f>
        <v/>
      </c>
      <c r="Q456" s="104">
        <f>IFERROR(VLOOKUP($A456,[5]실험의뢰_장진영!$A:$M,11,0),"")</f>
        <v>0</v>
      </c>
      <c r="R456" s="104">
        <f>IFERROR(VLOOKUP($A456,[5]실험의뢰_장진영!$A:$M,12,0),"")</f>
        <v>0</v>
      </c>
      <c r="S456" s="104">
        <f>IFERROR(VLOOKUP($A456,[5]실험의뢰_장진영!$A:$M,13,0),"")</f>
        <v>0</v>
      </c>
      <c r="T456" s="58"/>
    </row>
    <row r="457" spans="1:20" ht="30" customHeight="1">
      <c r="A457" s="99" t="str">
        <f>실험지시[[#This Row],[품목코드]] &amp; "_" &amp; TEXT(실험지시[[#This Row],[실험지시일자]], "yyyymmdd")</f>
        <v>_19000100</v>
      </c>
      <c r="B457"/>
      <c r="C457" s="99" t="str">
        <f>IFERROR(VLOOKUP(실험지시[[#This Row],[제품명]],BOM_개발품목[[제품명]:[사양]],5,0),"")</f>
        <v/>
      </c>
      <c r="D457" s="112" t="str">
        <f>IFERROR(VLOOKUP(실험지시[[#This Row],[제품명]],BOM_개발품목[[제품명]:[사양]],4,0),"")</f>
        <v/>
      </c>
      <c r="E457" s="1"/>
      <c r="I457" s="3"/>
      <c r="L457" s="129" t="str">
        <f>실험지시[[#This Row],[금형코드]]</f>
        <v/>
      </c>
      <c r="M457" s="131">
        <f>IFERROR(VLOOKUP($A457,[5]실험의뢰_장진영!$A:$M,5,0),"")</f>
        <v>0</v>
      </c>
      <c r="N457" s="104" t="str">
        <f>IFERROR(VLOOKUP($A457,[5]실험의뢰_장진영!$A:$M,4,0),"")</f>
        <v>라보 60ml 캡 찍은 뒤 장식 조립해보고 틈보이면 60ml 장식도 키워서 찍어야 할 수 있습니다</v>
      </c>
      <c r="O457" s="132">
        <f>IFERROR(VLOOKUP($A457,[5]실험의뢰_장진영!$A:$M,6,0),"")</f>
        <v>0</v>
      </c>
      <c r="P457" s="99" t="str">
        <f>IFERROR(VLOOKUP(실험지시[[#This Row],[제품명]],BOM_개발품목[[제품명]:[사양]],7,0),"")</f>
        <v/>
      </c>
      <c r="Q457" s="104">
        <f>IFERROR(VLOOKUP($A457,[5]실험의뢰_장진영!$A:$M,11,0),"")</f>
        <v>0</v>
      </c>
      <c r="R457" s="104">
        <f>IFERROR(VLOOKUP($A457,[5]실험의뢰_장진영!$A:$M,12,0),"")</f>
        <v>0</v>
      </c>
      <c r="S457" s="104">
        <f>IFERROR(VLOOKUP($A457,[5]실험의뢰_장진영!$A:$M,13,0),"")</f>
        <v>0</v>
      </c>
      <c r="T457" s="58"/>
    </row>
    <row r="458" spans="1:20" ht="30" customHeight="1">
      <c r="A458" s="99" t="str">
        <f>실험지시[[#This Row],[품목코드]] &amp; "_" &amp; TEXT(실험지시[[#This Row],[실험지시일자]], "yyyymmdd")</f>
        <v>_19000100</v>
      </c>
      <c r="B458"/>
      <c r="C458" s="99" t="str">
        <f>IFERROR(VLOOKUP(실험지시[[#This Row],[제품명]],BOM_개발품목[[제품명]:[사양]],5,0),"")</f>
        <v/>
      </c>
      <c r="D458" s="112" t="str">
        <f>IFERROR(VLOOKUP(실험지시[[#This Row],[제품명]],BOM_개발품목[[제품명]:[사양]],4,0),"")</f>
        <v/>
      </c>
      <c r="E458" s="1"/>
      <c r="I458" s="3"/>
      <c r="L458" s="129" t="str">
        <f>실험지시[[#This Row],[금형코드]]</f>
        <v/>
      </c>
      <c r="M458" s="131">
        <f>IFERROR(VLOOKUP($A458,[5]실험의뢰_장진영!$A:$M,5,0),"")</f>
        <v>0</v>
      </c>
      <c r="N458" s="104" t="str">
        <f>IFERROR(VLOOKUP($A458,[5]실험의뢰_장진영!$A:$M,4,0),"")</f>
        <v>라보 60ml 캡 찍은 뒤 장식 조립해보고 틈보이면 60ml 장식도 키워서 찍어야 할 수 있습니다</v>
      </c>
      <c r="O458" s="132">
        <f>IFERROR(VLOOKUP($A458,[5]실험의뢰_장진영!$A:$M,6,0),"")</f>
        <v>0</v>
      </c>
      <c r="P458" s="99" t="str">
        <f>IFERROR(VLOOKUP(실험지시[[#This Row],[제품명]],BOM_개발품목[[제품명]:[사양]],7,0),"")</f>
        <v/>
      </c>
      <c r="Q458" s="104">
        <f>IFERROR(VLOOKUP($A458,[5]실험의뢰_장진영!$A:$M,11,0),"")</f>
        <v>0</v>
      </c>
      <c r="R458" s="104">
        <f>IFERROR(VLOOKUP($A458,[5]실험의뢰_장진영!$A:$M,12,0),"")</f>
        <v>0</v>
      </c>
      <c r="S458" s="104">
        <f>IFERROR(VLOOKUP($A458,[5]실험의뢰_장진영!$A:$M,13,0),"")</f>
        <v>0</v>
      </c>
      <c r="T458" s="58"/>
    </row>
    <row r="459" spans="1:20" ht="30" customHeight="1">
      <c r="A459" s="99" t="str">
        <f>실험지시[[#This Row],[품목코드]] &amp; "_" &amp; TEXT(실험지시[[#This Row],[실험지시일자]], "yyyymmdd")</f>
        <v>_19000100</v>
      </c>
      <c r="B459"/>
      <c r="C459" s="99" t="str">
        <f>IFERROR(VLOOKUP(실험지시[[#This Row],[제품명]],BOM_개발품목[[제품명]:[사양]],5,0),"")</f>
        <v/>
      </c>
      <c r="D459" s="112" t="str">
        <f>IFERROR(VLOOKUP(실험지시[[#This Row],[제품명]],BOM_개발품목[[제품명]:[사양]],4,0),"")</f>
        <v/>
      </c>
      <c r="E459" s="1"/>
      <c r="I459" s="3"/>
      <c r="L459" s="129" t="str">
        <f>실험지시[[#This Row],[금형코드]]</f>
        <v/>
      </c>
      <c r="M459" s="131">
        <f>IFERROR(VLOOKUP($A459,[5]실험의뢰_장진영!$A:$M,5,0),"")</f>
        <v>0</v>
      </c>
      <c r="N459" s="104" t="str">
        <f>IFERROR(VLOOKUP($A459,[5]실험의뢰_장진영!$A:$M,4,0),"")</f>
        <v>라보 60ml 캡 찍은 뒤 장식 조립해보고 틈보이면 60ml 장식도 키워서 찍어야 할 수 있습니다</v>
      </c>
      <c r="O459" s="132">
        <f>IFERROR(VLOOKUP($A459,[5]실험의뢰_장진영!$A:$M,6,0),"")</f>
        <v>0</v>
      </c>
      <c r="P459" s="99" t="str">
        <f>IFERROR(VLOOKUP(실험지시[[#This Row],[제품명]],BOM_개발품목[[제품명]:[사양]],7,0),"")</f>
        <v/>
      </c>
      <c r="Q459" s="104">
        <f>IFERROR(VLOOKUP($A459,[5]실험의뢰_장진영!$A:$M,11,0),"")</f>
        <v>0</v>
      </c>
      <c r="R459" s="104">
        <f>IFERROR(VLOOKUP($A459,[5]실험의뢰_장진영!$A:$M,12,0),"")</f>
        <v>0</v>
      </c>
      <c r="S459" s="104">
        <f>IFERROR(VLOOKUP($A459,[5]실험의뢰_장진영!$A:$M,13,0),"")</f>
        <v>0</v>
      </c>
      <c r="T459" s="58"/>
    </row>
    <row r="460" spans="1:20" ht="30" customHeight="1">
      <c r="A460" s="99" t="str">
        <f>실험지시[[#This Row],[품목코드]] &amp; "_" &amp; TEXT(실험지시[[#This Row],[실험지시일자]], "yyyymmdd")</f>
        <v>_19000100</v>
      </c>
      <c r="B460"/>
      <c r="C460" s="99" t="str">
        <f>IFERROR(VLOOKUP(실험지시[[#This Row],[제품명]],BOM_개발품목[[제품명]:[사양]],5,0),"")</f>
        <v/>
      </c>
      <c r="D460" s="112" t="str">
        <f>IFERROR(VLOOKUP(실험지시[[#This Row],[제품명]],BOM_개발품목[[제품명]:[사양]],4,0),"")</f>
        <v/>
      </c>
      <c r="E460" s="1"/>
      <c r="I460" s="3"/>
      <c r="L460" s="129" t="str">
        <f>실험지시[[#This Row],[금형코드]]</f>
        <v/>
      </c>
      <c r="M460" s="131">
        <f>IFERROR(VLOOKUP($A460,[5]실험의뢰_장진영!$A:$M,5,0),"")</f>
        <v>0</v>
      </c>
      <c r="N460" s="104" t="str">
        <f>IFERROR(VLOOKUP($A460,[5]실험의뢰_장진영!$A:$M,4,0),"")</f>
        <v>라보 60ml 캡 찍은 뒤 장식 조립해보고 틈보이면 60ml 장식도 키워서 찍어야 할 수 있습니다</v>
      </c>
      <c r="O460" s="132">
        <f>IFERROR(VLOOKUP($A460,[5]실험의뢰_장진영!$A:$M,6,0),"")</f>
        <v>0</v>
      </c>
      <c r="P460" s="99" t="str">
        <f>IFERROR(VLOOKUP(실험지시[[#This Row],[제품명]],BOM_개발품목[[제품명]:[사양]],7,0),"")</f>
        <v/>
      </c>
      <c r="Q460" s="104">
        <f>IFERROR(VLOOKUP($A460,[5]실험의뢰_장진영!$A:$M,11,0),"")</f>
        <v>0</v>
      </c>
      <c r="R460" s="104">
        <f>IFERROR(VLOOKUP($A460,[5]실험의뢰_장진영!$A:$M,12,0),"")</f>
        <v>0</v>
      </c>
      <c r="S460" s="104">
        <f>IFERROR(VLOOKUP($A460,[5]실험의뢰_장진영!$A:$M,13,0),"")</f>
        <v>0</v>
      </c>
      <c r="T460" s="58"/>
    </row>
    <row r="461" spans="1:20" ht="30" customHeight="1">
      <c r="A461" s="99" t="str">
        <f>실험지시[[#This Row],[품목코드]] &amp; "_" &amp; TEXT(실험지시[[#This Row],[실험지시일자]], "yyyymmdd")</f>
        <v>_19000100</v>
      </c>
      <c r="B461"/>
      <c r="C461" s="99" t="str">
        <f>IFERROR(VLOOKUP(실험지시[[#This Row],[제품명]],BOM_개발품목[[제품명]:[사양]],5,0),"")</f>
        <v/>
      </c>
      <c r="D461" s="112" t="str">
        <f>IFERROR(VLOOKUP(실험지시[[#This Row],[제품명]],BOM_개발품목[[제품명]:[사양]],4,0),"")</f>
        <v/>
      </c>
      <c r="E461" s="1"/>
      <c r="I461" s="3"/>
      <c r="L461" s="129" t="str">
        <f>실험지시[[#This Row],[금형코드]]</f>
        <v/>
      </c>
      <c r="M461" s="131">
        <f>IFERROR(VLOOKUP($A461,[5]실험의뢰_장진영!$A:$M,5,0),"")</f>
        <v>0</v>
      </c>
      <c r="N461" s="104" t="str">
        <f>IFERROR(VLOOKUP($A461,[5]실험의뢰_장진영!$A:$M,4,0),"")</f>
        <v>라보 60ml 캡 찍은 뒤 장식 조립해보고 틈보이면 60ml 장식도 키워서 찍어야 할 수 있습니다</v>
      </c>
      <c r="O461" s="132">
        <f>IFERROR(VLOOKUP($A461,[5]실험의뢰_장진영!$A:$M,6,0),"")</f>
        <v>0</v>
      </c>
      <c r="P461" s="99" t="str">
        <f>IFERROR(VLOOKUP(실험지시[[#This Row],[제품명]],BOM_개발품목[[제품명]:[사양]],7,0),"")</f>
        <v/>
      </c>
      <c r="Q461" s="104">
        <f>IFERROR(VLOOKUP($A461,[5]실험의뢰_장진영!$A:$M,11,0),"")</f>
        <v>0</v>
      </c>
      <c r="R461" s="104">
        <f>IFERROR(VLOOKUP($A461,[5]실험의뢰_장진영!$A:$M,12,0),"")</f>
        <v>0</v>
      </c>
      <c r="S461" s="104">
        <f>IFERROR(VLOOKUP($A461,[5]실험의뢰_장진영!$A:$M,13,0),"")</f>
        <v>0</v>
      </c>
      <c r="T461" s="58"/>
    </row>
    <row r="462" spans="1:20" ht="30" customHeight="1">
      <c r="A462" s="99" t="str">
        <f>실험지시[[#This Row],[품목코드]] &amp; "_" &amp; TEXT(실험지시[[#This Row],[실험지시일자]], "yyyymmdd")</f>
        <v>_19000100</v>
      </c>
      <c r="B462"/>
      <c r="C462" s="99" t="str">
        <f>IFERROR(VLOOKUP(실험지시[[#This Row],[제품명]],BOM_개발품목[[제품명]:[사양]],5,0),"")</f>
        <v/>
      </c>
      <c r="D462" s="112" t="str">
        <f>IFERROR(VLOOKUP(실험지시[[#This Row],[제품명]],BOM_개발품목[[제품명]:[사양]],4,0),"")</f>
        <v/>
      </c>
      <c r="E462" s="1"/>
      <c r="I462" s="3"/>
      <c r="L462" s="129" t="str">
        <f>실험지시[[#This Row],[금형코드]]</f>
        <v/>
      </c>
      <c r="M462" s="131">
        <f>IFERROR(VLOOKUP($A462,[5]실험의뢰_장진영!$A:$M,5,0),"")</f>
        <v>0</v>
      </c>
      <c r="N462" s="104" t="str">
        <f>IFERROR(VLOOKUP($A462,[5]실험의뢰_장진영!$A:$M,4,0),"")</f>
        <v>라보 60ml 캡 찍은 뒤 장식 조립해보고 틈보이면 60ml 장식도 키워서 찍어야 할 수 있습니다</v>
      </c>
      <c r="O462" s="132">
        <f>IFERROR(VLOOKUP($A462,[5]실험의뢰_장진영!$A:$M,6,0),"")</f>
        <v>0</v>
      </c>
      <c r="P462" s="99" t="str">
        <f>IFERROR(VLOOKUP(실험지시[[#This Row],[제품명]],BOM_개발품목[[제품명]:[사양]],7,0),"")</f>
        <v/>
      </c>
      <c r="Q462" s="104">
        <f>IFERROR(VLOOKUP($A462,[5]실험의뢰_장진영!$A:$M,11,0),"")</f>
        <v>0</v>
      </c>
      <c r="R462" s="104">
        <f>IFERROR(VLOOKUP($A462,[5]실험의뢰_장진영!$A:$M,12,0),"")</f>
        <v>0</v>
      </c>
      <c r="S462" s="104">
        <f>IFERROR(VLOOKUP($A462,[5]실험의뢰_장진영!$A:$M,13,0),"")</f>
        <v>0</v>
      </c>
      <c r="T462" s="58"/>
    </row>
    <row r="463" spans="1:20" ht="30" customHeight="1">
      <c r="A463" s="99" t="str">
        <f>실험지시[[#This Row],[품목코드]] &amp; "_" &amp; TEXT(실험지시[[#This Row],[실험지시일자]], "yyyymmdd")</f>
        <v>_19000100</v>
      </c>
      <c r="B463"/>
      <c r="C463" s="99" t="str">
        <f>IFERROR(VLOOKUP(실험지시[[#This Row],[제품명]],BOM_개발품목[[제품명]:[사양]],5,0),"")</f>
        <v/>
      </c>
      <c r="D463" s="112" t="str">
        <f>IFERROR(VLOOKUP(실험지시[[#This Row],[제품명]],BOM_개발품목[[제품명]:[사양]],4,0),"")</f>
        <v/>
      </c>
      <c r="E463" s="1"/>
      <c r="I463" s="3"/>
      <c r="L463" s="129" t="str">
        <f>실험지시[[#This Row],[금형코드]]</f>
        <v/>
      </c>
      <c r="M463" s="131">
        <f>IFERROR(VLOOKUP($A463,[5]실험의뢰_장진영!$A:$M,5,0),"")</f>
        <v>0</v>
      </c>
      <c r="N463" s="104" t="str">
        <f>IFERROR(VLOOKUP($A463,[5]실험의뢰_장진영!$A:$M,4,0),"")</f>
        <v>라보 60ml 캡 찍은 뒤 장식 조립해보고 틈보이면 60ml 장식도 키워서 찍어야 할 수 있습니다</v>
      </c>
      <c r="O463" s="132">
        <f>IFERROR(VLOOKUP($A463,[5]실험의뢰_장진영!$A:$M,6,0),"")</f>
        <v>0</v>
      </c>
      <c r="P463" s="99" t="str">
        <f>IFERROR(VLOOKUP(실험지시[[#This Row],[제품명]],BOM_개발품목[[제품명]:[사양]],7,0),"")</f>
        <v/>
      </c>
      <c r="Q463" s="104">
        <f>IFERROR(VLOOKUP($A463,[5]실험의뢰_장진영!$A:$M,11,0),"")</f>
        <v>0</v>
      </c>
      <c r="R463" s="104">
        <f>IFERROR(VLOOKUP($A463,[5]실험의뢰_장진영!$A:$M,12,0),"")</f>
        <v>0</v>
      </c>
      <c r="S463" s="104">
        <f>IFERROR(VLOOKUP($A463,[5]실험의뢰_장진영!$A:$M,13,0),"")</f>
        <v>0</v>
      </c>
      <c r="T463" s="58"/>
    </row>
    <row r="464" spans="1:20" ht="30" customHeight="1">
      <c r="A464" s="99" t="str">
        <f>실험지시[[#This Row],[품목코드]] &amp; "_" &amp; TEXT(실험지시[[#This Row],[실험지시일자]], "yyyymmdd")</f>
        <v>_19000100</v>
      </c>
      <c r="B464"/>
      <c r="C464" s="99" t="str">
        <f>IFERROR(VLOOKUP(실험지시[[#This Row],[제품명]],BOM_개발품목[[제품명]:[사양]],5,0),"")</f>
        <v/>
      </c>
      <c r="D464" s="112" t="str">
        <f>IFERROR(VLOOKUP(실험지시[[#This Row],[제품명]],BOM_개발품목[[제품명]:[사양]],4,0),"")</f>
        <v/>
      </c>
      <c r="E464" s="1"/>
      <c r="I464" s="3"/>
      <c r="L464" s="129" t="str">
        <f>실험지시[[#This Row],[금형코드]]</f>
        <v/>
      </c>
      <c r="M464" s="131">
        <f>IFERROR(VLOOKUP($A464,[5]실험의뢰_장진영!$A:$M,5,0),"")</f>
        <v>0</v>
      </c>
      <c r="N464" s="104" t="str">
        <f>IFERROR(VLOOKUP($A464,[5]실험의뢰_장진영!$A:$M,4,0),"")</f>
        <v>라보 60ml 캡 찍은 뒤 장식 조립해보고 틈보이면 60ml 장식도 키워서 찍어야 할 수 있습니다</v>
      </c>
      <c r="O464" s="132">
        <f>IFERROR(VLOOKUP($A464,[5]실험의뢰_장진영!$A:$M,6,0),"")</f>
        <v>0</v>
      </c>
      <c r="P464" s="99" t="str">
        <f>IFERROR(VLOOKUP(실험지시[[#This Row],[제품명]],BOM_개발품목[[제품명]:[사양]],7,0),"")</f>
        <v/>
      </c>
      <c r="Q464" s="104">
        <f>IFERROR(VLOOKUP($A464,[5]실험의뢰_장진영!$A:$M,11,0),"")</f>
        <v>0</v>
      </c>
      <c r="R464" s="104">
        <f>IFERROR(VLOOKUP($A464,[5]실험의뢰_장진영!$A:$M,12,0),"")</f>
        <v>0</v>
      </c>
      <c r="S464" s="104">
        <f>IFERROR(VLOOKUP($A464,[5]실험의뢰_장진영!$A:$M,13,0),"")</f>
        <v>0</v>
      </c>
      <c r="T464" s="58"/>
    </row>
    <row r="465" spans="1:20" ht="30" customHeight="1">
      <c r="A465" s="99" t="str">
        <f>실험지시[[#This Row],[품목코드]] &amp; "_" &amp; TEXT(실험지시[[#This Row],[실험지시일자]], "yyyymmdd")</f>
        <v>_19000100</v>
      </c>
      <c r="B465"/>
      <c r="C465" s="99" t="str">
        <f>IFERROR(VLOOKUP(실험지시[[#This Row],[제품명]],BOM_개발품목[[제품명]:[사양]],5,0),"")</f>
        <v/>
      </c>
      <c r="D465" s="112" t="str">
        <f>IFERROR(VLOOKUP(실험지시[[#This Row],[제품명]],BOM_개발품목[[제품명]:[사양]],4,0),"")</f>
        <v/>
      </c>
      <c r="E465" s="1"/>
      <c r="I465" s="3"/>
      <c r="L465" s="129" t="str">
        <f>실험지시[[#This Row],[금형코드]]</f>
        <v/>
      </c>
      <c r="M465" s="131">
        <f>IFERROR(VLOOKUP($A465,[5]실험의뢰_장진영!$A:$M,5,0),"")</f>
        <v>0</v>
      </c>
      <c r="N465" s="104" t="str">
        <f>IFERROR(VLOOKUP($A465,[5]실험의뢰_장진영!$A:$M,4,0),"")</f>
        <v>라보 60ml 캡 찍은 뒤 장식 조립해보고 틈보이면 60ml 장식도 키워서 찍어야 할 수 있습니다</v>
      </c>
      <c r="O465" s="132">
        <f>IFERROR(VLOOKUP($A465,[5]실험의뢰_장진영!$A:$M,6,0),"")</f>
        <v>0</v>
      </c>
      <c r="P465" s="99" t="str">
        <f>IFERROR(VLOOKUP(실험지시[[#This Row],[제품명]],BOM_개발품목[[제품명]:[사양]],7,0),"")</f>
        <v/>
      </c>
      <c r="Q465" s="104">
        <f>IFERROR(VLOOKUP($A465,[5]실험의뢰_장진영!$A:$M,11,0),"")</f>
        <v>0</v>
      </c>
      <c r="R465" s="104">
        <f>IFERROR(VLOOKUP($A465,[5]실험의뢰_장진영!$A:$M,12,0),"")</f>
        <v>0</v>
      </c>
      <c r="S465" s="104">
        <f>IFERROR(VLOOKUP($A465,[5]실험의뢰_장진영!$A:$M,13,0),"")</f>
        <v>0</v>
      </c>
      <c r="T465" s="58"/>
    </row>
    <row r="466" spans="1:20" ht="30" customHeight="1">
      <c r="A466" s="99" t="str">
        <f>실험지시[[#This Row],[품목코드]] &amp; "_" &amp; TEXT(실험지시[[#This Row],[실험지시일자]], "yyyymmdd")</f>
        <v>_19000100</v>
      </c>
      <c r="B466"/>
      <c r="C466" s="99" t="str">
        <f>IFERROR(VLOOKUP(실험지시[[#This Row],[제품명]],BOM_개발품목[[제품명]:[사양]],5,0),"")</f>
        <v/>
      </c>
      <c r="D466" s="112" t="str">
        <f>IFERROR(VLOOKUP(실험지시[[#This Row],[제품명]],BOM_개발품목[[제품명]:[사양]],4,0),"")</f>
        <v/>
      </c>
      <c r="E466" s="1"/>
      <c r="I466" s="3"/>
      <c r="L466" s="129" t="str">
        <f>실험지시[[#This Row],[금형코드]]</f>
        <v/>
      </c>
      <c r="M466" s="131">
        <f>IFERROR(VLOOKUP($A466,[5]실험의뢰_장진영!$A:$M,5,0),"")</f>
        <v>0</v>
      </c>
      <c r="N466" s="104" t="str">
        <f>IFERROR(VLOOKUP($A466,[5]실험의뢰_장진영!$A:$M,4,0),"")</f>
        <v>라보 60ml 캡 찍은 뒤 장식 조립해보고 틈보이면 60ml 장식도 키워서 찍어야 할 수 있습니다</v>
      </c>
      <c r="O466" s="132">
        <f>IFERROR(VLOOKUP($A466,[5]실험의뢰_장진영!$A:$M,6,0),"")</f>
        <v>0</v>
      </c>
      <c r="P466" s="99" t="str">
        <f>IFERROR(VLOOKUP(실험지시[[#This Row],[제품명]],BOM_개발품목[[제품명]:[사양]],7,0),"")</f>
        <v/>
      </c>
      <c r="Q466" s="104">
        <f>IFERROR(VLOOKUP($A466,[5]실험의뢰_장진영!$A:$M,11,0),"")</f>
        <v>0</v>
      </c>
      <c r="R466" s="104">
        <f>IFERROR(VLOOKUP($A466,[5]실험의뢰_장진영!$A:$M,12,0),"")</f>
        <v>0</v>
      </c>
      <c r="S466" s="104">
        <f>IFERROR(VLOOKUP($A466,[5]실험의뢰_장진영!$A:$M,13,0),"")</f>
        <v>0</v>
      </c>
      <c r="T466" s="58"/>
    </row>
    <row r="467" spans="1:20" ht="30" customHeight="1">
      <c r="A467" s="99" t="str">
        <f>실험지시[[#This Row],[품목코드]] &amp; "_" &amp; TEXT(실험지시[[#This Row],[실험지시일자]], "yyyymmdd")</f>
        <v>_19000100</v>
      </c>
      <c r="B467"/>
      <c r="C467" s="99" t="str">
        <f>IFERROR(VLOOKUP(실험지시[[#This Row],[제품명]],BOM_개발품목[[제품명]:[사양]],5,0),"")</f>
        <v/>
      </c>
      <c r="D467" s="112" t="str">
        <f>IFERROR(VLOOKUP(실험지시[[#This Row],[제품명]],BOM_개발품목[[제품명]:[사양]],4,0),"")</f>
        <v/>
      </c>
      <c r="E467" s="1"/>
      <c r="I467" s="3"/>
      <c r="L467" s="129" t="str">
        <f>실험지시[[#This Row],[금형코드]]</f>
        <v/>
      </c>
      <c r="M467" s="131">
        <f>IFERROR(VLOOKUP($A467,[5]실험의뢰_장진영!$A:$M,5,0),"")</f>
        <v>0</v>
      </c>
      <c r="N467" s="104" t="str">
        <f>IFERROR(VLOOKUP($A467,[5]실험의뢰_장진영!$A:$M,4,0),"")</f>
        <v>라보 60ml 캡 찍은 뒤 장식 조립해보고 틈보이면 60ml 장식도 키워서 찍어야 할 수 있습니다</v>
      </c>
      <c r="O467" s="132">
        <f>IFERROR(VLOOKUP($A467,[5]실험의뢰_장진영!$A:$M,6,0),"")</f>
        <v>0</v>
      </c>
      <c r="P467" s="99" t="str">
        <f>IFERROR(VLOOKUP(실험지시[[#This Row],[제품명]],BOM_개발품목[[제품명]:[사양]],7,0),"")</f>
        <v/>
      </c>
      <c r="Q467" s="104">
        <f>IFERROR(VLOOKUP($A467,[5]실험의뢰_장진영!$A:$M,11,0),"")</f>
        <v>0</v>
      </c>
      <c r="R467" s="104">
        <f>IFERROR(VLOOKUP($A467,[5]실험의뢰_장진영!$A:$M,12,0),"")</f>
        <v>0</v>
      </c>
      <c r="S467" s="104">
        <f>IFERROR(VLOOKUP($A467,[5]실험의뢰_장진영!$A:$M,13,0),"")</f>
        <v>0</v>
      </c>
      <c r="T467" s="58"/>
    </row>
    <row r="468" spans="1:20" ht="30" customHeight="1">
      <c r="A468" s="99" t="str">
        <f>실험지시[[#This Row],[품목코드]] &amp; "_" &amp; TEXT(실험지시[[#This Row],[실험지시일자]], "yyyymmdd")</f>
        <v>_19000100</v>
      </c>
      <c r="B468"/>
      <c r="C468" s="99" t="str">
        <f>IFERROR(VLOOKUP(실험지시[[#This Row],[제품명]],BOM_개발품목[[제품명]:[사양]],5,0),"")</f>
        <v/>
      </c>
      <c r="D468" s="112" t="str">
        <f>IFERROR(VLOOKUP(실험지시[[#This Row],[제품명]],BOM_개발품목[[제품명]:[사양]],4,0),"")</f>
        <v/>
      </c>
      <c r="E468" s="1"/>
      <c r="I468" s="3"/>
      <c r="L468" s="129" t="str">
        <f>실험지시[[#This Row],[금형코드]]</f>
        <v/>
      </c>
      <c r="M468" s="131">
        <f>IFERROR(VLOOKUP($A468,[5]실험의뢰_장진영!$A:$M,5,0),"")</f>
        <v>0</v>
      </c>
      <c r="N468" s="104" t="str">
        <f>IFERROR(VLOOKUP($A468,[5]실험의뢰_장진영!$A:$M,4,0),"")</f>
        <v>라보 60ml 캡 찍은 뒤 장식 조립해보고 틈보이면 60ml 장식도 키워서 찍어야 할 수 있습니다</v>
      </c>
      <c r="O468" s="132">
        <f>IFERROR(VLOOKUP($A468,[5]실험의뢰_장진영!$A:$M,6,0),"")</f>
        <v>0</v>
      </c>
      <c r="P468" s="99" t="str">
        <f>IFERROR(VLOOKUP(실험지시[[#This Row],[제품명]],BOM_개발품목[[제품명]:[사양]],7,0),"")</f>
        <v/>
      </c>
      <c r="Q468" s="104">
        <f>IFERROR(VLOOKUP($A468,[5]실험의뢰_장진영!$A:$M,11,0),"")</f>
        <v>0</v>
      </c>
      <c r="R468" s="104">
        <f>IFERROR(VLOOKUP($A468,[5]실험의뢰_장진영!$A:$M,12,0),"")</f>
        <v>0</v>
      </c>
      <c r="S468" s="104">
        <f>IFERROR(VLOOKUP($A468,[5]실험의뢰_장진영!$A:$M,13,0),"")</f>
        <v>0</v>
      </c>
      <c r="T468" s="58"/>
    </row>
    <row r="469" spans="1:20" ht="30" customHeight="1">
      <c r="A469" s="99" t="str">
        <f>실험지시[[#This Row],[품목코드]] &amp; "_" &amp; TEXT(실험지시[[#This Row],[실험지시일자]], "yyyymmdd")</f>
        <v>_19000100</v>
      </c>
      <c r="B469"/>
      <c r="C469" s="99" t="str">
        <f>IFERROR(VLOOKUP(실험지시[[#This Row],[제품명]],BOM_개발품목[[제품명]:[사양]],5,0),"")</f>
        <v/>
      </c>
      <c r="D469" s="112" t="str">
        <f>IFERROR(VLOOKUP(실험지시[[#This Row],[제품명]],BOM_개발품목[[제품명]:[사양]],4,0),"")</f>
        <v/>
      </c>
      <c r="E469" s="1"/>
      <c r="I469" s="3"/>
      <c r="L469" s="129" t="str">
        <f>실험지시[[#This Row],[금형코드]]</f>
        <v/>
      </c>
      <c r="M469" s="131">
        <f>IFERROR(VLOOKUP($A469,[5]실험의뢰_장진영!$A:$M,5,0),"")</f>
        <v>0</v>
      </c>
      <c r="N469" s="104" t="str">
        <f>IFERROR(VLOOKUP($A469,[5]실험의뢰_장진영!$A:$M,4,0),"")</f>
        <v>라보 60ml 캡 찍은 뒤 장식 조립해보고 틈보이면 60ml 장식도 키워서 찍어야 할 수 있습니다</v>
      </c>
      <c r="O469" s="132">
        <f>IFERROR(VLOOKUP($A469,[5]실험의뢰_장진영!$A:$M,6,0),"")</f>
        <v>0</v>
      </c>
      <c r="P469" s="99" t="str">
        <f>IFERROR(VLOOKUP(실험지시[[#This Row],[제품명]],BOM_개발품목[[제품명]:[사양]],7,0),"")</f>
        <v/>
      </c>
      <c r="Q469" s="104">
        <f>IFERROR(VLOOKUP($A469,[5]실험의뢰_장진영!$A:$M,11,0),"")</f>
        <v>0</v>
      </c>
      <c r="R469" s="104">
        <f>IFERROR(VLOOKUP($A469,[5]실험의뢰_장진영!$A:$M,12,0),"")</f>
        <v>0</v>
      </c>
      <c r="S469" s="104">
        <f>IFERROR(VLOOKUP($A469,[5]실험의뢰_장진영!$A:$M,13,0),"")</f>
        <v>0</v>
      </c>
      <c r="T469" s="58"/>
    </row>
    <row r="470" spans="1:20" ht="30" customHeight="1">
      <c r="A470" s="99" t="str">
        <f>실험지시[[#This Row],[품목코드]] &amp; "_" &amp; TEXT(실험지시[[#This Row],[실험지시일자]], "yyyymmdd")</f>
        <v>_19000100</v>
      </c>
      <c r="B470"/>
      <c r="C470" s="99" t="str">
        <f>IFERROR(VLOOKUP(실험지시[[#This Row],[제품명]],BOM_개발품목[[제품명]:[사양]],5,0),"")</f>
        <v/>
      </c>
      <c r="D470" s="112" t="str">
        <f>IFERROR(VLOOKUP(실험지시[[#This Row],[제품명]],BOM_개발품목[[제품명]:[사양]],4,0),"")</f>
        <v/>
      </c>
      <c r="E470" s="1"/>
      <c r="I470" s="3"/>
      <c r="L470" s="129" t="str">
        <f>실험지시[[#This Row],[금형코드]]</f>
        <v/>
      </c>
      <c r="M470" s="131">
        <f>IFERROR(VLOOKUP($A470,[5]실험의뢰_장진영!$A:$M,5,0),"")</f>
        <v>0</v>
      </c>
      <c r="N470" s="104" t="str">
        <f>IFERROR(VLOOKUP($A470,[5]실험의뢰_장진영!$A:$M,4,0),"")</f>
        <v>라보 60ml 캡 찍은 뒤 장식 조립해보고 틈보이면 60ml 장식도 키워서 찍어야 할 수 있습니다</v>
      </c>
      <c r="O470" s="132">
        <f>IFERROR(VLOOKUP($A470,[5]실험의뢰_장진영!$A:$M,6,0),"")</f>
        <v>0</v>
      </c>
      <c r="P470" s="99" t="str">
        <f>IFERROR(VLOOKUP(실험지시[[#This Row],[제품명]],BOM_개발품목[[제품명]:[사양]],7,0),"")</f>
        <v/>
      </c>
      <c r="Q470" s="104">
        <f>IFERROR(VLOOKUP($A470,[5]실험의뢰_장진영!$A:$M,11,0),"")</f>
        <v>0</v>
      </c>
      <c r="R470" s="104">
        <f>IFERROR(VLOOKUP($A470,[5]실험의뢰_장진영!$A:$M,12,0),"")</f>
        <v>0</v>
      </c>
      <c r="S470" s="104">
        <f>IFERROR(VLOOKUP($A470,[5]실험의뢰_장진영!$A:$M,13,0),"")</f>
        <v>0</v>
      </c>
      <c r="T470" s="58"/>
    </row>
    <row r="471" spans="1:20" ht="30" customHeight="1">
      <c r="A471" s="99" t="str">
        <f>실험지시[[#This Row],[품목코드]] &amp; "_" &amp; TEXT(실험지시[[#This Row],[실험지시일자]], "yyyymmdd")</f>
        <v>_19000100</v>
      </c>
      <c r="B471"/>
      <c r="C471" s="99" t="str">
        <f>IFERROR(VLOOKUP(실험지시[[#This Row],[제품명]],BOM_개발품목[[제품명]:[사양]],5,0),"")</f>
        <v/>
      </c>
      <c r="D471" s="112" t="str">
        <f>IFERROR(VLOOKUP(실험지시[[#This Row],[제품명]],BOM_개발품목[[제품명]:[사양]],4,0),"")</f>
        <v/>
      </c>
      <c r="E471" s="1"/>
      <c r="I471" s="3"/>
      <c r="L471" s="129" t="str">
        <f>실험지시[[#This Row],[금형코드]]</f>
        <v/>
      </c>
      <c r="M471" s="131">
        <f>IFERROR(VLOOKUP($A471,[5]실험의뢰_장진영!$A:$M,5,0),"")</f>
        <v>0</v>
      </c>
      <c r="N471" s="104" t="str">
        <f>IFERROR(VLOOKUP($A471,[5]실험의뢰_장진영!$A:$M,4,0),"")</f>
        <v>라보 60ml 캡 찍은 뒤 장식 조립해보고 틈보이면 60ml 장식도 키워서 찍어야 할 수 있습니다</v>
      </c>
      <c r="O471" s="132">
        <f>IFERROR(VLOOKUP($A471,[5]실험의뢰_장진영!$A:$M,6,0),"")</f>
        <v>0</v>
      </c>
      <c r="P471" s="99" t="str">
        <f>IFERROR(VLOOKUP(실험지시[[#This Row],[제품명]],BOM_개발품목[[제품명]:[사양]],7,0),"")</f>
        <v/>
      </c>
      <c r="Q471" s="104">
        <f>IFERROR(VLOOKUP($A471,[5]실험의뢰_장진영!$A:$M,11,0),"")</f>
        <v>0</v>
      </c>
      <c r="R471" s="104">
        <f>IFERROR(VLOOKUP($A471,[5]실험의뢰_장진영!$A:$M,12,0),"")</f>
        <v>0</v>
      </c>
      <c r="S471" s="104">
        <f>IFERROR(VLOOKUP($A471,[5]실험의뢰_장진영!$A:$M,13,0),"")</f>
        <v>0</v>
      </c>
      <c r="T471" s="58"/>
    </row>
    <row r="472" spans="1:20" ht="30" customHeight="1">
      <c r="A472" s="99" t="str">
        <f>실험지시[[#This Row],[품목코드]] &amp; "_" &amp; TEXT(실험지시[[#This Row],[실험지시일자]], "yyyymmdd")</f>
        <v>_19000100</v>
      </c>
      <c r="B472"/>
      <c r="C472" s="99" t="str">
        <f>IFERROR(VLOOKUP(실험지시[[#This Row],[제품명]],BOM_개발품목[[제품명]:[사양]],5,0),"")</f>
        <v/>
      </c>
      <c r="D472" s="112" t="str">
        <f>IFERROR(VLOOKUP(실험지시[[#This Row],[제품명]],BOM_개발품목[[제품명]:[사양]],4,0),"")</f>
        <v/>
      </c>
      <c r="E472" s="1"/>
      <c r="I472" s="3"/>
      <c r="L472" s="129" t="str">
        <f>실험지시[[#This Row],[금형코드]]</f>
        <v/>
      </c>
      <c r="M472" s="131">
        <f>IFERROR(VLOOKUP($A472,[5]실험의뢰_장진영!$A:$M,5,0),"")</f>
        <v>0</v>
      </c>
      <c r="N472" s="104" t="str">
        <f>IFERROR(VLOOKUP($A472,[5]실험의뢰_장진영!$A:$M,4,0),"")</f>
        <v>라보 60ml 캡 찍은 뒤 장식 조립해보고 틈보이면 60ml 장식도 키워서 찍어야 할 수 있습니다</v>
      </c>
      <c r="O472" s="132">
        <f>IFERROR(VLOOKUP($A472,[5]실험의뢰_장진영!$A:$M,6,0),"")</f>
        <v>0</v>
      </c>
      <c r="P472" s="99" t="str">
        <f>IFERROR(VLOOKUP(실험지시[[#This Row],[제품명]],BOM_개발품목[[제품명]:[사양]],7,0),"")</f>
        <v/>
      </c>
      <c r="Q472" s="104">
        <f>IFERROR(VLOOKUP($A472,[5]실험의뢰_장진영!$A:$M,11,0),"")</f>
        <v>0</v>
      </c>
      <c r="R472" s="104">
        <f>IFERROR(VLOOKUP($A472,[5]실험의뢰_장진영!$A:$M,12,0),"")</f>
        <v>0</v>
      </c>
      <c r="S472" s="104">
        <f>IFERROR(VLOOKUP($A472,[5]실험의뢰_장진영!$A:$M,13,0),"")</f>
        <v>0</v>
      </c>
      <c r="T472" s="58"/>
    </row>
    <row r="473" spans="1:20" ht="30" customHeight="1">
      <c r="A473" s="99" t="str">
        <f>실험지시[[#This Row],[품목코드]] &amp; "_" &amp; TEXT(실험지시[[#This Row],[실험지시일자]], "yyyymmdd")</f>
        <v>_19000100</v>
      </c>
      <c r="B473"/>
      <c r="C473" s="99" t="str">
        <f>IFERROR(VLOOKUP(실험지시[[#This Row],[제품명]],BOM_개발품목[[제품명]:[사양]],5,0),"")</f>
        <v/>
      </c>
      <c r="D473" s="112" t="str">
        <f>IFERROR(VLOOKUP(실험지시[[#This Row],[제품명]],BOM_개발품목[[제품명]:[사양]],4,0),"")</f>
        <v/>
      </c>
      <c r="E473" s="1"/>
      <c r="I473" s="3"/>
      <c r="L473" s="129" t="str">
        <f>실험지시[[#This Row],[금형코드]]</f>
        <v/>
      </c>
      <c r="M473" s="131">
        <f>IFERROR(VLOOKUP($A473,[5]실험의뢰_장진영!$A:$M,5,0),"")</f>
        <v>0</v>
      </c>
      <c r="N473" s="104" t="str">
        <f>IFERROR(VLOOKUP($A473,[5]실험의뢰_장진영!$A:$M,4,0),"")</f>
        <v>라보 60ml 캡 찍은 뒤 장식 조립해보고 틈보이면 60ml 장식도 키워서 찍어야 할 수 있습니다</v>
      </c>
      <c r="O473" s="132">
        <f>IFERROR(VLOOKUP($A473,[5]실험의뢰_장진영!$A:$M,6,0),"")</f>
        <v>0</v>
      </c>
      <c r="P473" s="99" t="str">
        <f>IFERROR(VLOOKUP(실험지시[[#This Row],[제품명]],BOM_개발품목[[제품명]:[사양]],7,0),"")</f>
        <v/>
      </c>
      <c r="Q473" s="104">
        <f>IFERROR(VLOOKUP($A473,[5]실험의뢰_장진영!$A:$M,11,0),"")</f>
        <v>0</v>
      </c>
      <c r="R473" s="104">
        <f>IFERROR(VLOOKUP($A473,[5]실험의뢰_장진영!$A:$M,12,0),"")</f>
        <v>0</v>
      </c>
      <c r="S473" s="104">
        <f>IFERROR(VLOOKUP($A473,[5]실험의뢰_장진영!$A:$M,13,0),"")</f>
        <v>0</v>
      </c>
      <c r="T473" s="58"/>
    </row>
    <row r="474" spans="1:20" ht="30" customHeight="1">
      <c r="A474" s="99" t="str">
        <f>실험지시[[#This Row],[품목코드]] &amp; "_" &amp; TEXT(실험지시[[#This Row],[실험지시일자]], "yyyymmdd")</f>
        <v>_19000100</v>
      </c>
      <c r="B474"/>
      <c r="C474" s="99" t="str">
        <f>IFERROR(VLOOKUP(실험지시[[#This Row],[제품명]],BOM_개발품목[[제품명]:[사양]],5,0),"")</f>
        <v/>
      </c>
      <c r="D474" s="112" t="str">
        <f>IFERROR(VLOOKUP(실험지시[[#This Row],[제품명]],BOM_개발품목[[제품명]:[사양]],4,0),"")</f>
        <v/>
      </c>
      <c r="E474" s="1"/>
      <c r="I474" s="3"/>
      <c r="L474" s="129" t="str">
        <f>실험지시[[#This Row],[금형코드]]</f>
        <v/>
      </c>
      <c r="M474" s="131">
        <f>IFERROR(VLOOKUP($A474,[5]실험의뢰_장진영!$A:$M,5,0),"")</f>
        <v>0</v>
      </c>
      <c r="N474" s="104" t="str">
        <f>IFERROR(VLOOKUP($A474,[5]실험의뢰_장진영!$A:$M,4,0),"")</f>
        <v>라보 60ml 캡 찍은 뒤 장식 조립해보고 틈보이면 60ml 장식도 키워서 찍어야 할 수 있습니다</v>
      </c>
      <c r="O474" s="132">
        <f>IFERROR(VLOOKUP($A474,[5]실험의뢰_장진영!$A:$M,6,0),"")</f>
        <v>0</v>
      </c>
      <c r="P474" s="99" t="str">
        <f>IFERROR(VLOOKUP(실험지시[[#This Row],[제품명]],BOM_개발품목[[제품명]:[사양]],7,0),"")</f>
        <v/>
      </c>
      <c r="Q474" s="104">
        <f>IFERROR(VLOOKUP($A474,[5]실험의뢰_장진영!$A:$M,11,0),"")</f>
        <v>0</v>
      </c>
      <c r="R474" s="104">
        <f>IFERROR(VLOOKUP($A474,[5]실험의뢰_장진영!$A:$M,12,0),"")</f>
        <v>0</v>
      </c>
      <c r="S474" s="104">
        <f>IFERROR(VLOOKUP($A474,[5]실험의뢰_장진영!$A:$M,13,0),"")</f>
        <v>0</v>
      </c>
      <c r="T474" s="58"/>
    </row>
    <row r="475" spans="1:20" ht="30" customHeight="1">
      <c r="A475" s="99" t="str">
        <f>실험지시[[#This Row],[품목코드]] &amp; "_" &amp; TEXT(실험지시[[#This Row],[실험지시일자]], "yyyymmdd")</f>
        <v>_19000100</v>
      </c>
      <c r="B475"/>
      <c r="C475" s="99" t="str">
        <f>IFERROR(VLOOKUP(실험지시[[#This Row],[제품명]],BOM_개발품목[[제품명]:[사양]],5,0),"")</f>
        <v/>
      </c>
      <c r="D475" s="112" t="str">
        <f>IFERROR(VLOOKUP(실험지시[[#This Row],[제품명]],BOM_개발품목[[제품명]:[사양]],4,0),"")</f>
        <v/>
      </c>
      <c r="E475" s="1"/>
      <c r="I475" s="3"/>
      <c r="L475" s="129" t="str">
        <f>실험지시[[#This Row],[금형코드]]</f>
        <v/>
      </c>
      <c r="M475" s="131">
        <f>IFERROR(VLOOKUP($A475,[5]실험의뢰_장진영!$A:$M,5,0),"")</f>
        <v>0</v>
      </c>
      <c r="N475" s="104" t="str">
        <f>IFERROR(VLOOKUP($A475,[5]실험의뢰_장진영!$A:$M,4,0),"")</f>
        <v>라보 60ml 캡 찍은 뒤 장식 조립해보고 틈보이면 60ml 장식도 키워서 찍어야 할 수 있습니다</v>
      </c>
      <c r="O475" s="132">
        <f>IFERROR(VLOOKUP($A475,[5]실험의뢰_장진영!$A:$M,6,0),"")</f>
        <v>0</v>
      </c>
      <c r="P475" s="99" t="str">
        <f>IFERROR(VLOOKUP(실험지시[[#This Row],[제품명]],BOM_개발품목[[제품명]:[사양]],7,0),"")</f>
        <v/>
      </c>
      <c r="Q475" s="104">
        <f>IFERROR(VLOOKUP($A475,[5]실험의뢰_장진영!$A:$M,11,0),"")</f>
        <v>0</v>
      </c>
      <c r="R475" s="104">
        <f>IFERROR(VLOOKUP($A475,[5]실험의뢰_장진영!$A:$M,12,0),"")</f>
        <v>0</v>
      </c>
      <c r="S475" s="104">
        <f>IFERROR(VLOOKUP($A475,[5]실험의뢰_장진영!$A:$M,13,0),"")</f>
        <v>0</v>
      </c>
      <c r="T475" s="58"/>
    </row>
    <row r="476" spans="1:20" ht="30" customHeight="1">
      <c r="A476" s="99" t="str">
        <f>실험지시[[#This Row],[품목코드]] &amp; "_" &amp; TEXT(실험지시[[#This Row],[실험지시일자]], "yyyymmdd")</f>
        <v>_19000100</v>
      </c>
      <c r="B476"/>
      <c r="C476" s="99" t="str">
        <f>IFERROR(VLOOKUP(실험지시[[#This Row],[제품명]],BOM_개발품목[[제품명]:[사양]],5,0),"")</f>
        <v/>
      </c>
      <c r="D476" s="112" t="str">
        <f>IFERROR(VLOOKUP(실험지시[[#This Row],[제품명]],BOM_개발품목[[제품명]:[사양]],4,0),"")</f>
        <v/>
      </c>
      <c r="E476" s="1"/>
      <c r="I476" s="3"/>
      <c r="L476" s="129" t="str">
        <f>실험지시[[#This Row],[금형코드]]</f>
        <v/>
      </c>
      <c r="M476" s="131">
        <f>IFERROR(VLOOKUP($A476,[5]실험의뢰_장진영!$A:$M,5,0),"")</f>
        <v>0</v>
      </c>
      <c r="N476" s="104" t="str">
        <f>IFERROR(VLOOKUP($A476,[5]실험의뢰_장진영!$A:$M,4,0),"")</f>
        <v>라보 60ml 캡 찍은 뒤 장식 조립해보고 틈보이면 60ml 장식도 키워서 찍어야 할 수 있습니다</v>
      </c>
      <c r="O476" s="132">
        <f>IFERROR(VLOOKUP($A476,[5]실험의뢰_장진영!$A:$M,6,0),"")</f>
        <v>0</v>
      </c>
      <c r="P476" s="99" t="str">
        <f>IFERROR(VLOOKUP(실험지시[[#This Row],[제품명]],BOM_개발품목[[제품명]:[사양]],7,0),"")</f>
        <v/>
      </c>
      <c r="Q476" s="104">
        <f>IFERROR(VLOOKUP($A476,[5]실험의뢰_장진영!$A:$M,11,0),"")</f>
        <v>0</v>
      </c>
      <c r="R476" s="104">
        <f>IFERROR(VLOOKUP($A476,[5]실험의뢰_장진영!$A:$M,12,0),"")</f>
        <v>0</v>
      </c>
      <c r="S476" s="104">
        <f>IFERROR(VLOOKUP($A476,[5]실험의뢰_장진영!$A:$M,13,0),"")</f>
        <v>0</v>
      </c>
      <c r="T476" s="58"/>
    </row>
    <row r="477" spans="1:20" ht="30" customHeight="1">
      <c r="A477" s="99" t="str">
        <f>실험지시[[#This Row],[품목코드]] &amp; "_" &amp; TEXT(실험지시[[#This Row],[실험지시일자]], "yyyymmdd")</f>
        <v>_19000100</v>
      </c>
      <c r="B477"/>
      <c r="C477" s="99" t="str">
        <f>IFERROR(VLOOKUP(실험지시[[#This Row],[제품명]],BOM_개발품목[[제품명]:[사양]],5,0),"")</f>
        <v/>
      </c>
      <c r="D477" s="112" t="str">
        <f>IFERROR(VLOOKUP(실험지시[[#This Row],[제품명]],BOM_개발품목[[제품명]:[사양]],4,0),"")</f>
        <v/>
      </c>
      <c r="E477" s="1"/>
      <c r="I477" s="3"/>
      <c r="L477" s="129" t="str">
        <f>실험지시[[#This Row],[금형코드]]</f>
        <v/>
      </c>
      <c r="M477" s="131">
        <f>IFERROR(VLOOKUP($A477,[5]실험의뢰_장진영!$A:$M,5,0),"")</f>
        <v>0</v>
      </c>
      <c r="N477" s="104" t="str">
        <f>IFERROR(VLOOKUP($A477,[5]실험의뢰_장진영!$A:$M,4,0),"")</f>
        <v>라보 60ml 캡 찍은 뒤 장식 조립해보고 틈보이면 60ml 장식도 키워서 찍어야 할 수 있습니다</v>
      </c>
      <c r="O477" s="132">
        <f>IFERROR(VLOOKUP($A477,[5]실험의뢰_장진영!$A:$M,6,0),"")</f>
        <v>0</v>
      </c>
      <c r="P477" s="99" t="str">
        <f>IFERROR(VLOOKUP(실험지시[[#This Row],[제품명]],BOM_개발품목[[제품명]:[사양]],7,0),"")</f>
        <v/>
      </c>
      <c r="Q477" s="104">
        <f>IFERROR(VLOOKUP($A477,[5]실험의뢰_장진영!$A:$M,11,0),"")</f>
        <v>0</v>
      </c>
      <c r="R477" s="104">
        <f>IFERROR(VLOOKUP($A477,[5]실험의뢰_장진영!$A:$M,12,0),"")</f>
        <v>0</v>
      </c>
      <c r="S477" s="104">
        <f>IFERROR(VLOOKUP($A477,[5]실험의뢰_장진영!$A:$M,13,0),"")</f>
        <v>0</v>
      </c>
      <c r="T477" s="58"/>
    </row>
    <row r="478" spans="1:20" ht="30" customHeight="1">
      <c r="A478" s="99" t="str">
        <f>실험지시[[#This Row],[품목코드]] &amp; "_" &amp; TEXT(실험지시[[#This Row],[실험지시일자]], "yyyymmdd")</f>
        <v>_19000100</v>
      </c>
      <c r="B478"/>
      <c r="C478" s="99" t="str">
        <f>IFERROR(VLOOKUP(실험지시[[#This Row],[제품명]],BOM_개발품목[[제품명]:[사양]],5,0),"")</f>
        <v/>
      </c>
      <c r="D478" s="112" t="str">
        <f>IFERROR(VLOOKUP(실험지시[[#This Row],[제품명]],BOM_개발품목[[제품명]:[사양]],4,0),"")</f>
        <v/>
      </c>
      <c r="E478" s="1"/>
      <c r="I478" s="3"/>
      <c r="L478" s="129" t="str">
        <f>실험지시[[#This Row],[금형코드]]</f>
        <v/>
      </c>
      <c r="M478" s="131">
        <f>IFERROR(VLOOKUP($A478,[5]실험의뢰_장진영!$A:$M,5,0),"")</f>
        <v>0</v>
      </c>
      <c r="N478" s="104" t="str">
        <f>IFERROR(VLOOKUP($A478,[5]실험의뢰_장진영!$A:$M,4,0),"")</f>
        <v>라보 60ml 캡 찍은 뒤 장식 조립해보고 틈보이면 60ml 장식도 키워서 찍어야 할 수 있습니다</v>
      </c>
      <c r="O478" s="132">
        <f>IFERROR(VLOOKUP($A478,[5]실험의뢰_장진영!$A:$M,6,0),"")</f>
        <v>0</v>
      </c>
      <c r="P478" s="99" t="str">
        <f>IFERROR(VLOOKUP(실험지시[[#This Row],[제품명]],BOM_개발품목[[제품명]:[사양]],7,0),"")</f>
        <v/>
      </c>
      <c r="Q478" s="104">
        <f>IFERROR(VLOOKUP($A478,[5]실험의뢰_장진영!$A:$M,11,0),"")</f>
        <v>0</v>
      </c>
      <c r="R478" s="104">
        <f>IFERROR(VLOOKUP($A478,[5]실험의뢰_장진영!$A:$M,12,0),"")</f>
        <v>0</v>
      </c>
      <c r="S478" s="104">
        <f>IFERROR(VLOOKUP($A478,[5]실험의뢰_장진영!$A:$M,13,0),"")</f>
        <v>0</v>
      </c>
      <c r="T478" s="58"/>
    </row>
    <row r="479" spans="1:20" ht="30" customHeight="1">
      <c r="A479" s="99" t="str">
        <f>실험지시[[#This Row],[품목코드]] &amp; "_" &amp; TEXT(실험지시[[#This Row],[실험지시일자]], "yyyymmdd")</f>
        <v>_19000100</v>
      </c>
      <c r="B479"/>
      <c r="C479" s="99" t="str">
        <f>IFERROR(VLOOKUP(실험지시[[#This Row],[제품명]],BOM_개발품목[[제품명]:[사양]],5,0),"")</f>
        <v/>
      </c>
      <c r="D479" s="112" t="str">
        <f>IFERROR(VLOOKUP(실험지시[[#This Row],[제품명]],BOM_개발품목[[제품명]:[사양]],4,0),"")</f>
        <v/>
      </c>
      <c r="E479" s="1"/>
      <c r="I479" s="3"/>
      <c r="L479" s="129" t="str">
        <f>실험지시[[#This Row],[금형코드]]</f>
        <v/>
      </c>
      <c r="M479" s="131">
        <f>IFERROR(VLOOKUP($A479,[5]실험의뢰_장진영!$A:$M,5,0),"")</f>
        <v>0</v>
      </c>
      <c r="N479" s="104" t="str">
        <f>IFERROR(VLOOKUP($A479,[5]실험의뢰_장진영!$A:$M,4,0),"")</f>
        <v>라보 60ml 캡 찍은 뒤 장식 조립해보고 틈보이면 60ml 장식도 키워서 찍어야 할 수 있습니다</v>
      </c>
      <c r="O479" s="132">
        <f>IFERROR(VLOOKUP($A479,[5]실험의뢰_장진영!$A:$M,6,0),"")</f>
        <v>0</v>
      </c>
      <c r="P479" s="99" t="str">
        <f>IFERROR(VLOOKUP(실험지시[[#This Row],[제품명]],BOM_개발품목[[제품명]:[사양]],7,0),"")</f>
        <v/>
      </c>
      <c r="Q479" s="104">
        <f>IFERROR(VLOOKUP($A479,[5]실험의뢰_장진영!$A:$M,11,0),"")</f>
        <v>0</v>
      </c>
      <c r="R479" s="104">
        <f>IFERROR(VLOOKUP($A479,[5]실험의뢰_장진영!$A:$M,12,0),"")</f>
        <v>0</v>
      </c>
      <c r="S479" s="104">
        <f>IFERROR(VLOOKUP($A479,[5]실험의뢰_장진영!$A:$M,13,0),"")</f>
        <v>0</v>
      </c>
      <c r="T479" s="58"/>
    </row>
    <row r="480" spans="1:20" ht="30" customHeight="1">
      <c r="A480" s="99" t="str">
        <f>실험지시[[#This Row],[품목코드]] &amp; "_" &amp; TEXT(실험지시[[#This Row],[실험지시일자]], "yyyymmdd")</f>
        <v>_19000100</v>
      </c>
      <c r="B480"/>
      <c r="C480" s="99" t="str">
        <f>IFERROR(VLOOKUP(실험지시[[#This Row],[제품명]],BOM_개발품목[[제품명]:[사양]],5,0),"")</f>
        <v/>
      </c>
      <c r="D480" s="112" t="str">
        <f>IFERROR(VLOOKUP(실험지시[[#This Row],[제품명]],BOM_개발품목[[제품명]:[사양]],4,0),"")</f>
        <v/>
      </c>
      <c r="E480" s="1"/>
      <c r="I480" s="3"/>
      <c r="L480" s="129" t="str">
        <f>실험지시[[#This Row],[금형코드]]</f>
        <v/>
      </c>
      <c r="M480" s="131">
        <f>IFERROR(VLOOKUP($A480,[5]실험의뢰_장진영!$A:$M,5,0),"")</f>
        <v>0</v>
      </c>
      <c r="N480" s="104" t="str">
        <f>IFERROR(VLOOKUP($A480,[5]실험의뢰_장진영!$A:$M,4,0),"")</f>
        <v>라보 60ml 캡 찍은 뒤 장식 조립해보고 틈보이면 60ml 장식도 키워서 찍어야 할 수 있습니다</v>
      </c>
      <c r="O480" s="132">
        <f>IFERROR(VLOOKUP($A480,[5]실험의뢰_장진영!$A:$M,6,0),"")</f>
        <v>0</v>
      </c>
      <c r="P480" s="99" t="str">
        <f>IFERROR(VLOOKUP(실험지시[[#This Row],[제품명]],BOM_개발품목[[제품명]:[사양]],7,0),"")</f>
        <v/>
      </c>
      <c r="Q480" s="104">
        <f>IFERROR(VLOOKUP($A480,[5]실험의뢰_장진영!$A:$M,11,0),"")</f>
        <v>0</v>
      </c>
      <c r="R480" s="104">
        <f>IFERROR(VLOOKUP($A480,[5]실험의뢰_장진영!$A:$M,12,0),"")</f>
        <v>0</v>
      </c>
      <c r="S480" s="104">
        <f>IFERROR(VLOOKUP($A480,[5]실험의뢰_장진영!$A:$M,13,0),"")</f>
        <v>0</v>
      </c>
      <c r="T480" s="58"/>
    </row>
    <row r="481" spans="1:20" ht="30" customHeight="1">
      <c r="A481" s="99" t="str">
        <f>실험지시[[#This Row],[품목코드]] &amp; "_" &amp; TEXT(실험지시[[#This Row],[실험지시일자]], "yyyymmdd")</f>
        <v>_19000100</v>
      </c>
      <c r="B481"/>
      <c r="C481" s="99" t="str">
        <f>IFERROR(VLOOKUP(실험지시[[#This Row],[제품명]],BOM_개발품목[[제품명]:[사양]],5,0),"")</f>
        <v/>
      </c>
      <c r="D481" s="112" t="str">
        <f>IFERROR(VLOOKUP(실험지시[[#This Row],[제품명]],BOM_개발품목[[제품명]:[사양]],4,0),"")</f>
        <v/>
      </c>
      <c r="E481" s="1"/>
      <c r="I481" s="3"/>
      <c r="L481" s="129" t="str">
        <f>실험지시[[#This Row],[금형코드]]</f>
        <v/>
      </c>
      <c r="M481" s="131">
        <f>IFERROR(VLOOKUP($A481,[5]실험의뢰_장진영!$A:$M,5,0),"")</f>
        <v>0</v>
      </c>
      <c r="N481" s="104" t="str">
        <f>IFERROR(VLOOKUP($A481,[5]실험의뢰_장진영!$A:$M,4,0),"")</f>
        <v>라보 60ml 캡 찍은 뒤 장식 조립해보고 틈보이면 60ml 장식도 키워서 찍어야 할 수 있습니다</v>
      </c>
      <c r="O481" s="132">
        <f>IFERROR(VLOOKUP($A481,[5]실험의뢰_장진영!$A:$M,6,0),"")</f>
        <v>0</v>
      </c>
      <c r="P481" s="99" t="str">
        <f>IFERROR(VLOOKUP(실험지시[[#This Row],[제품명]],BOM_개발품목[[제품명]:[사양]],7,0),"")</f>
        <v/>
      </c>
      <c r="Q481" s="104">
        <f>IFERROR(VLOOKUP($A481,[5]실험의뢰_장진영!$A:$M,11,0),"")</f>
        <v>0</v>
      </c>
      <c r="R481" s="104">
        <f>IFERROR(VLOOKUP($A481,[5]실험의뢰_장진영!$A:$M,12,0),"")</f>
        <v>0</v>
      </c>
      <c r="S481" s="104">
        <f>IFERROR(VLOOKUP($A481,[5]실험의뢰_장진영!$A:$M,13,0),"")</f>
        <v>0</v>
      </c>
      <c r="T481" s="58"/>
    </row>
    <row r="482" spans="1:20" ht="30" customHeight="1">
      <c r="A482" s="99" t="str">
        <f>실험지시[[#This Row],[품목코드]] &amp; "_" &amp; TEXT(실험지시[[#This Row],[실험지시일자]], "yyyymmdd")</f>
        <v>_19000100</v>
      </c>
      <c r="B482"/>
      <c r="C482" s="99" t="str">
        <f>IFERROR(VLOOKUP(실험지시[[#This Row],[제품명]],BOM_개발품목[[제품명]:[사양]],5,0),"")</f>
        <v/>
      </c>
      <c r="D482" s="112" t="str">
        <f>IFERROR(VLOOKUP(실험지시[[#This Row],[제품명]],BOM_개발품목[[제품명]:[사양]],4,0),"")</f>
        <v/>
      </c>
      <c r="E482" s="1"/>
      <c r="I482" s="3"/>
      <c r="L482" s="129" t="str">
        <f>실험지시[[#This Row],[금형코드]]</f>
        <v/>
      </c>
      <c r="M482" s="131">
        <f>IFERROR(VLOOKUP($A482,[5]실험의뢰_장진영!$A:$M,5,0),"")</f>
        <v>0</v>
      </c>
      <c r="N482" s="104" t="str">
        <f>IFERROR(VLOOKUP($A482,[5]실험의뢰_장진영!$A:$M,4,0),"")</f>
        <v>라보 60ml 캡 찍은 뒤 장식 조립해보고 틈보이면 60ml 장식도 키워서 찍어야 할 수 있습니다</v>
      </c>
      <c r="O482" s="132">
        <f>IFERROR(VLOOKUP($A482,[5]실험의뢰_장진영!$A:$M,6,0),"")</f>
        <v>0</v>
      </c>
      <c r="P482" s="99" t="str">
        <f>IFERROR(VLOOKUP(실험지시[[#This Row],[제품명]],BOM_개발품목[[제품명]:[사양]],7,0),"")</f>
        <v/>
      </c>
      <c r="Q482" s="104">
        <f>IFERROR(VLOOKUP($A482,[5]실험의뢰_장진영!$A:$M,11,0),"")</f>
        <v>0</v>
      </c>
      <c r="R482" s="104">
        <f>IFERROR(VLOOKUP($A482,[5]실험의뢰_장진영!$A:$M,12,0),"")</f>
        <v>0</v>
      </c>
      <c r="S482" s="104">
        <f>IFERROR(VLOOKUP($A482,[5]실험의뢰_장진영!$A:$M,13,0),"")</f>
        <v>0</v>
      </c>
      <c r="T482" s="58"/>
    </row>
    <row r="483" spans="1:20" ht="30" customHeight="1">
      <c r="A483" s="99" t="str">
        <f>실험지시[[#This Row],[품목코드]] &amp; "_" &amp; TEXT(실험지시[[#This Row],[실험지시일자]], "yyyymmdd")</f>
        <v>_19000100</v>
      </c>
      <c r="B483"/>
      <c r="C483" s="99" t="str">
        <f>IFERROR(VLOOKUP(실험지시[[#This Row],[제품명]],BOM_개발품목[[제품명]:[사양]],5,0),"")</f>
        <v/>
      </c>
      <c r="D483" s="112" t="str">
        <f>IFERROR(VLOOKUP(실험지시[[#This Row],[제품명]],BOM_개발품목[[제품명]:[사양]],4,0),"")</f>
        <v/>
      </c>
      <c r="E483" s="1"/>
      <c r="I483" s="3"/>
      <c r="L483" s="129" t="str">
        <f>실험지시[[#This Row],[금형코드]]</f>
        <v/>
      </c>
      <c r="M483" s="131">
        <f>IFERROR(VLOOKUP($A483,[5]실험의뢰_장진영!$A:$M,5,0),"")</f>
        <v>0</v>
      </c>
      <c r="N483" s="104" t="str">
        <f>IFERROR(VLOOKUP($A483,[5]실험의뢰_장진영!$A:$M,4,0),"")</f>
        <v>라보 60ml 캡 찍은 뒤 장식 조립해보고 틈보이면 60ml 장식도 키워서 찍어야 할 수 있습니다</v>
      </c>
      <c r="O483" s="132">
        <f>IFERROR(VLOOKUP($A483,[5]실험의뢰_장진영!$A:$M,6,0),"")</f>
        <v>0</v>
      </c>
      <c r="P483" s="99" t="str">
        <f>IFERROR(VLOOKUP(실험지시[[#This Row],[제품명]],BOM_개발품목[[제품명]:[사양]],7,0),"")</f>
        <v/>
      </c>
      <c r="Q483" s="104">
        <f>IFERROR(VLOOKUP($A483,[5]실험의뢰_장진영!$A:$M,11,0),"")</f>
        <v>0</v>
      </c>
      <c r="R483" s="104">
        <f>IFERROR(VLOOKUP($A483,[5]실험의뢰_장진영!$A:$M,12,0),"")</f>
        <v>0</v>
      </c>
      <c r="S483" s="104">
        <f>IFERROR(VLOOKUP($A483,[5]실험의뢰_장진영!$A:$M,13,0),"")</f>
        <v>0</v>
      </c>
      <c r="T483" s="58"/>
    </row>
    <row r="484" spans="1:20" ht="30" customHeight="1">
      <c r="A484" s="99" t="str">
        <f>실험지시[[#This Row],[품목코드]] &amp; "_" &amp; TEXT(실험지시[[#This Row],[실험지시일자]], "yyyymmdd")</f>
        <v>_19000100</v>
      </c>
      <c r="B484"/>
      <c r="C484" s="99" t="str">
        <f>IFERROR(VLOOKUP(실험지시[[#This Row],[제품명]],BOM_개발품목[[제품명]:[사양]],5,0),"")</f>
        <v/>
      </c>
      <c r="D484" s="112" t="str">
        <f>IFERROR(VLOOKUP(실험지시[[#This Row],[제품명]],BOM_개발품목[[제품명]:[사양]],4,0),"")</f>
        <v/>
      </c>
      <c r="E484" s="1"/>
      <c r="I484" s="3"/>
      <c r="L484" s="129" t="str">
        <f>실험지시[[#This Row],[금형코드]]</f>
        <v/>
      </c>
      <c r="M484" s="131">
        <f>IFERROR(VLOOKUP($A484,[5]실험의뢰_장진영!$A:$M,5,0),"")</f>
        <v>0</v>
      </c>
      <c r="N484" s="104" t="str">
        <f>IFERROR(VLOOKUP($A484,[5]실험의뢰_장진영!$A:$M,4,0),"")</f>
        <v>라보 60ml 캡 찍은 뒤 장식 조립해보고 틈보이면 60ml 장식도 키워서 찍어야 할 수 있습니다</v>
      </c>
      <c r="O484" s="132">
        <f>IFERROR(VLOOKUP($A484,[5]실험의뢰_장진영!$A:$M,6,0),"")</f>
        <v>0</v>
      </c>
      <c r="P484" s="99" t="str">
        <f>IFERROR(VLOOKUP(실험지시[[#This Row],[제품명]],BOM_개발품목[[제품명]:[사양]],7,0),"")</f>
        <v/>
      </c>
      <c r="Q484" s="104">
        <f>IFERROR(VLOOKUP($A484,[5]실험의뢰_장진영!$A:$M,11,0),"")</f>
        <v>0</v>
      </c>
      <c r="R484" s="104">
        <f>IFERROR(VLOOKUP($A484,[5]실험의뢰_장진영!$A:$M,12,0),"")</f>
        <v>0</v>
      </c>
      <c r="S484" s="104">
        <f>IFERROR(VLOOKUP($A484,[5]실험의뢰_장진영!$A:$M,13,0),"")</f>
        <v>0</v>
      </c>
      <c r="T484" s="58"/>
    </row>
    <row r="485" spans="1:20" ht="30" customHeight="1">
      <c r="A485" s="99" t="str">
        <f>실험지시[[#This Row],[품목코드]] &amp; "_" &amp; TEXT(실험지시[[#This Row],[실험지시일자]], "yyyymmdd")</f>
        <v>_19000100</v>
      </c>
      <c r="B485"/>
      <c r="C485" s="99" t="str">
        <f>IFERROR(VLOOKUP(실험지시[[#This Row],[제품명]],BOM_개발품목[[제품명]:[사양]],5,0),"")</f>
        <v/>
      </c>
      <c r="D485" s="112" t="str">
        <f>IFERROR(VLOOKUP(실험지시[[#This Row],[제품명]],BOM_개발품목[[제품명]:[사양]],4,0),"")</f>
        <v/>
      </c>
      <c r="E485" s="1"/>
      <c r="I485" s="3"/>
      <c r="L485" s="129" t="str">
        <f>실험지시[[#This Row],[금형코드]]</f>
        <v/>
      </c>
      <c r="M485" s="131">
        <f>IFERROR(VLOOKUP($A485,[5]실험의뢰_장진영!$A:$M,5,0),"")</f>
        <v>0</v>
      </c>
      <c r="N485" s="104" t="str">
        <f>IFERROR(VLOOKUP($A485,[5]실험의뢰_장진영!$A:$M,4,0),"")</f>
        <v>라보 60ml 캡 찍은 뒤 장식 조립해보고 틈보이면 60ml 장식도 키워서 찍어야 할 수 있습니다</v>
      </c>
      <c r="O485" s="132">
        <f>IFERROR(VLOOKUP($A485,[5]실험의뢰_장진영!$A:$M,6,0),"")</f>
        <v>0</v>
      </c>
      <c r="P485" s="99" t="str">
        <f>IFERROR(VLOOKUP(실험지시[[#This Row],[제품명]],BOM_개발품목[[제품명]:[사양]],7,0),"")</f>
        <v/>
      </c>
      <c r="Q485" s="104">
        <f>IFERROR(VLOOKUP($A485,[5]실험의뢰_장진영!$A:$M,11,0),"")</f>
        <v>0</v>
      </c>
      <c r="R485" s="104">
        <f>IFERROR(VLOOKUP($A485,[5]실험의뢰_장진영!$A:$M,12,0),"")</f>
        <v>0</v>
      </c>
      <c r="S485" s="104">
        <f>IFERROR(VLOOKUP($A485,[5]실험의뢰_장진영!$A:$M,13,0),"")</f>
        <v>0</v>
      </c>
      <c r="T485" s="58"/>
    </row>
    <row r="486" spans="1:20" ht="30" customHeight="1">
      <c r="A486" s="99" t="str">
        <f>실험지시[[#This Row],[품목코드]] &amp; "_" &amp; TEXT(실험지시[[#This Row],[실험지시일자]], "yyyymmdd")</f>
        <v>_19000100</v>
      </c>
      <c r="B486"/>
      <c r="C486" s="99" t="str">
        <f>IFERROR(VLOOKUP(실험지시[[#This Row],[제품명]],BOM_개발품목[[제품명]:[사양]],5,0),"")</f>
        <v/>
      </c>
      <c r="D486" s="112" t="str">
        <f>IFERROR(VLOOKUP(실험지시[[#This Row],[제품명]],BOM_개발품목[[제품명]:[사양]],4,0),"")</f>
        <v/>
      </c>
      <c r="E486" s="1"/>
      <c r="I486" s="3"/>
      <c r="L486" s="129" t="str">
        <f>실험지시[[#This Row],[금형코드]]</f>
        <v/>
      </c>
      <c r="M486" s="131">
        <f>IFERROR(VLOOKUP($A486,[5]실험의뢰_장진영!$A:$M,5,0),"")</f>
        <v>0</v>
      </c>
      <c r="N486" s="104" t="str">
        <f>IFERROR(VLOOKUP($A486,[5]실험의뢰_장진영!$A:$M,4,0),"")</f>
        <v>라보 60ml 캡 찍은 뒤 장식 조립해보고 틈보이면 60ml 장식도 키워서 찍어야 할 수 있습니다</v>
      </c>
      <c r="O486" s="132">
        <f>IFERROR(VLOOKUP($A486,[5]실험의뢰_장진영!$A:$M,6,0),"")</f>
        <v>0</v>
      </c>
      <c r="P486" s="99" t="str">
        <f>IFERROR(VLOOKUP(실험지시[[#This Row],[제품명]],BOM_개발품목[[제품명]:[사양]],7,0),"")</f>
        <v/>
      </c>
      <c r="Q486" s="104">
        <f>IFERROR(VLOOKUP($A486,[5]실험의뢰_장진영!$A:$M,11,0),"")</f>
        <v>0</v>
      </c>
      <c r="R486" s="104">
        <f>IFERROR(VLOOKUP($A486,[5]실험의뢰_장진영!$A:$M,12,0),"")</f>
        <v>0</v>
      </c>
      <c r="S486" s="104">
        <f>IFERROR(VLOOKUP($A486,[5]실험의뢰_장진영!$A:$M,13,0),"")</f>
        <v>0</v>
      </c>
      <c r="T486" s="58"/>
    </row>
    <row r="487" spans="1:20" ht="30" customHeight="1">
      <c r="A487" s="99" t="str">
        <f>실험지시[[#This Row],[품목코드]] &amp; "_" &amp; TEXT(실험지시[[#This Row],[실험지시일자]], "yyyymmdd")</f>
        <v>_19000100</v>
      </c>
      <c r="B487"/>
      <c r="C487" s="99" t="str">
        <f>IFERROR(VLOOKUP(실험지시[[#This Row],[제품명]],BOM_개발품목[[제품명]:[사양]],5,0),"")</f>
        <v/>
      </c>
      <c r="D487" s="112" t="str">
        <f>IFERROR(VLOOKUP(실험지시[[#This Row],[제품명]],BOM_개발품목[[제품명]:[사양]],4,0),"")</f>
        <v/>
      </c>
      <c r="E487" s="1"/>
      <c r="I487" s="3"/>
      <c r="L487" s="129" t="str">
        <f>실험지시[[#This Row],[금형코드]]</f>
        <v/>
      </c>
      <c r="M487" s="131">
        <f>IFERROR(VLOOKUP($A487,[5]실험의뢰_장진영!$A:$M,5,0),"")</f>
        <v>0</v>
      </c>
      <c r="N487" s="104" t="str">
        <f>IFERROR(VLOOKUP($A487,[5]실험의뢰_장진영!$A:$M,4,0),"")</f>
        <v>라보 60ml 캡 찍은 뒤 장식 조립해보고 틈보이면 60ml 장식도 키워서 찍어야 할 수 있습니다</v>
      </c>
      <c r="O487" s="132">
        <f>IFERROR(VLOOKUP($A487,[5]실험의뢰_장진영!$A:$M,6,0),"")</f>
        <v>0</v>
      </c>
      <c r="P487" s="99" t="str">
        <f>IFERROR(VLOOKUP(실험지시[[#This Row],[제품명]],BOM_개발품목[[제품명]:[사양]],7,0),"")</f>
        <v/>
      </c>
      <c r="Q487" s="104">
        <f>IFERROR(VLOOKUP($A487,[5]실험의뢰_장진영!$A:$M,11,0),"")</f>
        <v>0</v>
      </c>
      <c r="R487" s="104">
        <f>IFERROR(VLOOKUP($A487,[5]실험의뢰_장진영!$A:$M,12,0),"")</f>
        <v>0</v>
      </c>
      <c r="S487" s="104">
        <f>IFERROR(VLOOKUP($A487,[5]실험의뢰_장진영!$A:$M,13,0),"")</f>
        <v>0</v>
      </c>
      <c r="T487" s="58"/>
    </row>
    <row r="488" spans="1:20" ht="30" customHeight="1">
      <c r="A488" s="99" t="str">
        <f>실험지시[[#This Row],[품목코드]] &amp; "_" &amp; TEXT(실험지시[[#This Row],[실험지시일자]], "yyyymmdd")</f>
        <v>_19000100</v>
      </c>
      <c r="B488"/>
      <c r="C488" s="99" t="str">
        <f>IFERROR(VLOOKUP(실험지시[[#This Row],[제품명]],BOM_개발품목[[제품명]:[사양]],5,0),"")</f>
        <v/>
      </c>
      <c r="D488" s="112" t="str">
        <f>IFERROR(VLOOKUP(실험지시[[#This Row],[제품명]],BOM_개발품목[[제품명]:[사양]],4,0),"")</f>
        <v/>
      </c>
      <c r="E488" s="1"/>
      <c r="I488" s="3"/>
      <c r="L488" s="129" t="str">
        <f>실험지시[[#This Row],[금형코드]]</f>
        <v/>
      </c>
      <c r="M488" s="131">
        <f>IFERROR(VLOOKUP($A488,[5]실험의뢰_장진영!$A:$M,5,0),"")</f>
        <v>0</v>
      </c>
      <c r="N488" s="104" t="str">
        <f>IFERROR(VLOOKUP($A488,[5]실험의뢰_장진영!$A:$M,4,0),"")</f>
        <v>라보 60ml 캡 찍은 뒤 장식 조립해보고 틈보이면 60ml 장식도 키워서 찍어야 할 수 있습니다</v>
      </c>
      <c r="O488" s="132">
        <f>IFERROR(VLOOKUP($A488,[5]실험의뢰_장진영!$A:$M,6,0),"")</f>
        <v>0</v>
      </c>
      <c r="P488" s="99" t="str">
        <f>IFERROR(VLOOKUP(실험지시[[#This Row],[제품명]],BOM_개발품목[[제품명]:[사양]],7,0),"")</f>
        <v/>
      </c>
      <c r="Q488" s="104">
        <f>IFERROR(VLOOKUP($A488,[5]실험의뢰_장진영!$A:$M,11,0),"")</f>
        <v>0</v>
      </c>
      <c r="R488" s="104">
        <f>IFERROR(VLOOKUP($A488,[5]실험의뢰_장진영!$A:$M,12,0),"")</f>
        <v>0</v>
      </c>
      <c r="S488" s="104">
        <f>IFERROR(VLOOKUP($A488,[5]실험의뢰_장진영!$A:$M,13,0),"")</f>
        <v>0</v>
      </c>
      <c r="T488" s="58"/>
    </row>
    <row r="489" spans="1:20" ht="30" customHeight="1">
      <c r="A489" s="99" t="str">
        <f>실험지시[[#This Row],[품목코드]] &amp; "_" &amp; TEXT(실험지시[[#This Row],[실험지시일자]], "yyyymmdd")</f>
        <v>_19000100</v>
      </c>
      <c r="B489"/>
      <c r="C489" s="99" t="str">
        <f>IFERROR(VLOOKUP(실험지시[[#This Row],[제품명]],BOM_개발품목[[제품명]:[사양]],5,0),"")</f>
        <v/>
      </c>
      <c r="D489" s="112" t="str">
        <f>IFERROR(VLOOKUP(실험지시[[#This Row],[제품명]],BOM_개발품목[[제품명]:[사양]],4,0),"")</f>
        <v/>
      </c>
      <c r="E489" s="1"/>
      <c r="I489" s="3"/>
      <c r="L489" s="129" t="str">
        <f>실험지시[[#This Row],[금형코드]]</f>
        <v/>
      </c>
      <c r="M489" s="131">
        <f>IFERROR(VLOOKUP($A489,[5]실험의뢰_장진영!$A:$M,5,0),"")</f>
        <v>0</v>
      </c>
      <c r="N489" s="104" t="str">
        <f>IFERROR(VLOOKUP($A489,[5]실험의뢰_장진영!$A:$M,4,0),"")</f>
        <v>라보 60ml 캡 찍은 뒤 장식 조립해보고 틈보이면 60ml 장식도 키워서 찍어야 할 수 있습니다</v>
      </c>
      <c r="O489" s="132">
        <f>IFERROR(VLOOKUP($A489,[5]실험의뢰_장진영!$A:$M,6,0),"")</f>
        <v>0</v>
      </c>
      <c r="P489" s="99" t="str">
        <f>IFERROR(VLOOKUP(실험지시[[#This Row],[제품명]],BOM_개발품목[[제품명]:[사양]],7,0),"")</f>
        <v/>
      </c>
      <c r="Q489" s="104">
        <f>IFERROR(VLOOKUP($A489,[5]실험의뢰_장진영!$A:$M,11,0),"")</f>
        <v>0</v>
      </c>
      <c r="R489" s="104">
        <f>IFERROR(VLOOKUP($A489,[5]실험의뢰_장진영!$A:$M,12,0),"")</f>
        <v>0</v>
      </c>
      <c r="S489" s="104">
        <f>IFERROR(VLOOKUP($A489,[5]실험의뢰_장진영!$A:$M,13,0),"")</f>
        <v>0</v>
      </c>
      <c r="T489" s="58"/>
    </row>
    <row r="490" spans="1:20" ht="30" customHeight="1">
      <c r="A490" s="99" t="str">
        <f>실험지시[[#This Row],[품목코드]] &amp; "_" &amp; TEXT(실험지시[[#This Row],[실험지시일자]], "yyyymmdd")</f>
        <v>_19000100</v>
      </c>
      <c r="B490"/>
      <c r="C490" s="99" t="str">
        <f>IFERROR(VLOOKUP(실험지시[[#This Row],[제품명]],BOM_개발품목[[제품명]:[사양]],5,0),"")</f>
        <v/>
      </c>
      <c r="D490" s="112" t="str">
        <f>IFERROR(VLOOKUP(실험지시[[#This Row],[제품명]],BOM_개발품목[[제품명]:[사양]],4,0),"")</f>
        <v/>
      </c>
      <c r="E490" s="1"/>
      <c r="I490" s="3"/>
      <c r="L490" s="129" t="str">
        <f>실험지시[[#This Row],[금형코드]]</f>
        <v/>
      </c>
      <c r="M490" s="131">
        <f>IFERROR(VLOOKUP($A490,[5]실험의뢰_장진영!$A:$M,5,0),"")</f>
        <v>0</v>
      </c>
      <c r="N490" s="104" t="str">
        <f>IFERROR(VLOOKUP($A490,[5]실험의뢰_장진영!$A:$M,4,0),"")</f>
        <v>라보 60ml 캡 찍은 뒤 장식 조립해보고 틈보이면 60ml 장식도 키워서 찍어야 할 수 있습니다</v>
      </c>
      <c r="O490" s="132">
        <f>IFERROR(VLOOKUP($A490,[5]실험의뢰_장진영!$A:$M,6,0),"")</f>
        <v>0</v>
      </c>
      <c r="P490" s="99" t="str">
        <f>IFERROR(VLOOKUP(실험지시[[#This Row],[제품명]],BOM_개발품목[[제품명]:[사양]],7,0),"")</f>
        <v/>
      </c>
      <c r="Q490" s="104">
        <f>IFERROR(VLOOKUP($A490,[5]실험의뢰_장진영!$A:$M,11,0),"")</f>
        <v>0</v>
      </c>
      <c r="R490" s="104">
        <f>IFERROR(VLOOKUP($A490,[5]실험의뢰_장진영!$A:$M,12,0),"")</f>
        <v>0</v>
      </c>
      <c r="S490" s="104">
        <f>IFERROR(VLOOKUP($A490,[5]실험의뢰_장진영!$A:$M,13,0),"")</f>
        <v>0</v>
      </c>
      <c r="T490" s="58"/>
    </row>
    <row r="491" spans="1:20" ht="30" customHeight="1">
      <c r="B491" s="58" t="str">
        <f>IFERROR(VLOOKUP($A491,[5]실험의뢰_장진영!$A:$M,3,0),"")</f>
        <v/>
      </c>
    </row>
  </sheetData>
  <phoneticPr fontId="1" type="noConversion"/>
  <conditionalFormatting sqref="A1:A24 A26:A28">
    <cfRule type="duplicateValues" dxfId="49" priority="27"/>
    <cfRule type="duplicateValues" dxfId="48" priority="28"/>
  </conditionalFormatting>
  <conditionalFormatting sqref="A1:A1048576">
    <cfRule type="duplicateValues" dxfId="47" priority="8"/>
  </conditionalFormatting>
  <conditionalFormatting sqref="A31">
    <cfRule type="duplicateValues" dxfId="46" priority="11"/>
    <cfRule type="duplicateValues" dxfId="45" priority="12"/>
  </conditionalFormatting>
  <conditionalFormatting sqref="A32">
    <cfRule type="duplicateValues" dxfId="44" priority="9"/>
    <cfRule type="duplicateValues" dxfId="43" priority="10"/>
  </conditionalFormatting>
  <conditionalFormatting sqref="B1:B228 B299:B302 B230:B297 B304:B1048576">
    <cfRule type="duplicateValues" dxfId="42" priority="13"/>
  </conditionalFormatting>
  <conditionalFormatting sqref="B229">
    <cfRule type="duplicateValues" dxfId="41" priority="7"/>
  </conditionalFormatting>
  <conditionalFormatting sqref="B298">
    <cfRule type="duplicateValues" dxfId="40" priority="6"/>
  </conditionalFormatting>
  <conditionalFormatting sqref="B298">
    <cfRule type="duplicateValues" dxfId="39" priority="4"/>
    <cfRule type="duplicateValues" dxfId="38" priority="5"/>
  </conditionalFormatting>
  <conditionalFormatting sqref="B303">
    <cfRule type="duplicateValues" dxfId="37" priority="3"/>
  </conditionalFormatting>
  <conditionalFormatting sqref="B303">
    <cfRule type="duplicateValues" dxfId="36" priority="1"/>
    <cfRule type="duplicateValues" dxfId="35" priority="2"/>
  </conditionalFormatting>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6E930-EC9D-4E2A-9A07-61D67FB947AC}">
  <sheetPr codeName="Sheet1">
    <tabColor rgb="FF0070C0"/>
  </sheetPr>
  <dimension ref="A1:BW30"/>
  <sheetViews>
    <sheetView workbookViewId="0">
      <pane xSplit="4" ySplit="2" topLeftCell="L3" activePane="bottomRight" state="frozen"/>
      <selection activeCell="B4" sqref="B4"/>
      <selection pane="topRight" activeCell="B4" sqref="B4"/>
      <selection pane="bottomLeft" activeCell="B4" sqref="B4"/>
      <selection pane="bottomRight" activeCell="B17" sqref="B17"/>
    </sheetView>
  </sheetViews>
  <sheetFormatPr defaultRowHeight="16.5"/>
  <cols>
    <col min="1" max="1" width="16.375" bestFit="1" customWidth="1"/>
    <col min="2" max="2" width="54.5" bestFit="1" customWidth="1"/>
    <col min="4" max="5" width="11.125" style="1" bestFit="1" customWidth="1"/>
    <col min="11" max="11" width="24.125" bestFit="1" customWidth="1"/>
    <col min="31" max="39" width="8.625" customWidth="1"/>
    <col min="67" max="75" width="11.75" bestFit="1" customWidth="1"/>
  </cols>
  <sheetData>
    <row r="1" spans="1:75">
      <c r="A1" s="147" t="s">
        <v>1258</v>
      </c>
      <c r="B1" s="54"/>
    </row>
    <row r="2" spans="1:75" s="92" customFormat="1" ht="40.5">
      <c r="A2" s="86" t="s">
        <v>10</v>
      </c>
      <c r="B2" s="87" t="s">
        <v>0</v>
      </c>
      <c r="C2" s="87" t="s">
        <v>11</v>
      </c>
      <c r="D2" s="88" t="s">
        <v>73</v>
      </c>
      <c r="E2" s="89" t="s">
        <v>17</v>
      </c>
      <c r="F2" s="89" t="s">
        <v>12</v>
      </c>
      <c r="G2" s="89" t="s">
        <v>13</v>
      </c>
      <c r="H2" s="89" t="s">
        <v>14</v>
      </c>
      <c r="I2" s="90" t="s">
        <v>21</v>
      </c>
      <c r="J2" s="91" t="s">
        <v>172</v>
      </c>
      <c r="K2" s="90" t="s">
        <v>173</v>
      </c>
      <c r="L2" s="93" t="s">
        <v>85</v>
      </c>
      <c r="M2" s="93" t="s">
        <v>33</v>
      </c>
      <c r="N2" s="93" t="s">
        <v>119</v>
      </c>
      <c r="O2" s="93" t="s">
        <v>120</v>
      </c>
      <c r="P2" s="93" t="s">
        <v>121</v>
      </c>
      <c r="Q2" s="93" t="s">
        <v>122</v>
      </c>
      <c r="R2" s="93" t="s">
        <v>123</v>
      </c>
      <c r="S2" s="93" t="s">
        <v>124</v>
      </c>
      <c r="T2" s="93" t="s">
        <v>125</v>
      </c>
      <c r="U2" s="96" t="s">
        <v>126</v>
      </c>
      <c r="V2" s="93" t="s">
        <v>86</v>
      </c>
      <c r="W2" s="93" t="s">
        <v>89</v>
      </c>
      <c r="X2" s="93" t="s">
        <v>90</v>
      </c>
      <c r="Y2" s="93" t="s">
        <v>91</v>
      </c>
      <c r="Z2" s="93" t="s">
        <v>92</v>
      </c>
      <c r="AA2" s="93" t="s">
        <v>93</v>
      </c>
      <c r="AB2" s="93" t="s">
        <v>94</v>
      </c>
      <c r="AC2" s="93" t="s">
        <v>95</v>
      </c>
      <c r="AD2" s="93" t="s">
        <v>96</v>
      </c>
      <c r="AE2" s="94" t="s">
        <v>960</v>
      </c>
      <c r="AF2" s="94" t="s">
        <v>219</v>
      </c>
      <c r="AG2" s="94" t="s">
        <v>220</v>
      </c>
      <c r="AH2" s="94" t="s">
        <v>221</v>
      </c>
      <c r="AI2" s="94" t="s">
        <v>222</v>
      </c>
      <c r="AJ2" s="94" t="s">
        <v>223</v>
      </c>
      <c r="AK2" s="94" t="s">
        <v>224</v>
      </c>
      <c r="AL2" s="94" t="s">
        <v>225</v>
      </c>
      <c r="AM2" s="95" t="s">
        <v>226</v>
      </c>
      <c r="AN2" s="93" t="s">
        <v>87</v>
      </c>
      <c r="AO2" s="93" t="s">
        <v>97</v>
      </c>
      <c r="AP2" s="93" t="s">
        <v>98</v>
      </c>
      <c r="AQ2" s="93" t="s">
        <v>99</v>
      </c>
      <c r="AR2" s="93" t="s">
        <v>100</v>
      </c>
      <c r="AS2" s="93" t="s">
        <v>101</v>
      </c>
      <c r="AT2" s="93" t="s">
        <v>102</v>
      </c>
      <c r="AU2" s="93" t="s">
        <v>103</v>
      </c>
      <c r="AV2" s="93" t="s">
        <v>104</v>
      </c>
      <c r="AW2" s="94" t="s">
        <v>961</v>
      </c>
      <c r="AX2" s="94" t="s">
        <v>227</v>
      </c>
      <c r="AY2" s="94" t="s">
        <v>228</v>
      </c>
      <c r="AZ2" s="94" t="s">
        <v>229</v>
      </c>
      <c r="BA2" s="94" t="s">
        <v>230</v>
      </c>
      <c r="BB2" s="94" t="s">
        <v>231</v>
      </c>
      <c r="BC2" s="94" t="s">
        <v>232</v>
      </c>
      <c r="BD2" s="94" t="s">
        <v>233</v>
      </c>
      <c r="BE2" s="95" t="s">
        <v>234</v>
      </c>
      <c r="BF2" s="93" t="s">
        <v>88</v>
      </c>
      <c r="BG2" s="93" t="s">
        <v>105</v>
      </c>
      <c r="BH2" s="93" t="s">
        <v>106</v>
      </c>
      <c r="BI2" s="93" t="s">
        <v>107</v>
      </c>
      <c r="BJ2" s="93" t="s">
        <v>108</v>
      </c>
      <c r="BK2" s="93" t="s">
        <v>109</v>
      </c>
      <c r="BL2" s="93" t="s">
        <v>110</v>
      </c>
      <c r="BM2" s="93" t="s">
        <v>111</v>
      </c>
      <c r="BN2" s="93" t="s">
        <v>112</v>
      </c>
      <c r="BO2" s="94" t="s">
        <v>962</v>
      </c>
      <c r="BP2" s="94" t="s">
        <v>356</v>
      </c>
      <c r="BQ2" s="94" t="s">
        <v>357</v>
      </c>
      <c r="BR2" s="94" t="s">
        <v>358</v>
      </c>
      <c r="BS2" s="94" t="s">
        <v>359</v>
      </c>
      <c r="BT2" s="94" t="s">
        <v>360</v>
      </c>
      <c r="BU2" s="94" t="s">
        <v>361</v>
      </c>
      <c r="BV2" s="94" t="s">
        <v>362</v>
      </c>
      <c r="BW2" s="95" t="s">
        <v>363</v>
      </c>
    </row>
    <row r="3" spans="1:75">
      <c r="A3" t="str" cm="1">
        <f t="array" ref="A3:K7">INDEX(실험지시_김도균!A:L, _xlfn._xlws.FILTER((ROW(실험지시_김도균!A:A)), LEFT(실험지시_김도균!A:A, LEN($A$1)) = $A$1), {1,2,4,5,6,7,8,9,10,11,12})</f>
        <v>SI1615_20250708</v>
      </c>
      <c r="B3" t="str">
        <v>설화수 진설명작크림 60ML (26AD 캡장식-하단링</v>
      </c>
      <c r="C3" t="str">
        <v>SI1615</v>
      </c>
      <c r="D3" s="1">
        <v>45854</v>
      </c>
      <c r="E3" s="1" t="str">
        <v>장세래</v>
      </c>
      <c r="F3" t="str">
        <v>MP0670</v>
      </c>
      <c r="G3" t="str">
        <v>DJ250610-4</v>
      </c>
      <c r="H3">
        <v>5</v>
      </c>
      <c r="I3">
        <v>17</v>
      </c>
      <c r="J3">
        <v>0</v>
      </c>
      <c r="K3" t="str">
        <v>M251185_01</v>
      </c>
      <c r="L3">
        <f>IFERROR(VLOOKUP($A3,'[3]사출실험_CYCLE TIME'!$A:$H,8,0),"")</f>
        <v>0</v>
      </c>
      <c r="M3">
        <f>IFERROR(VLOOKUP($A3,[3]측정!$A:$BL,56,0),"")</f>
        <v>2.56</v>
      </c>
      <c r="N3">
        <f>IFERROR(VLOOKUP($A3,[3]측정!$A:$BL,57,0),"")</f>
        <v>3.41</v>
      </c>
      <c r="O3">
        <f>IFERROR(VLOOKUP($A3,[3]측정!$A:$BL,58,0),"")</f>
        <v>3.42</v>
      </c>
      <c r="P3">
        <f>IFERROR(VLOOKUP($A3,[3]측정!$A:$BL,59,0),"")</f>
        <v>0</v>
      </c>
      <c r="Q3">
        <f>IFERROR(VLOOKUP($A3,[3]측정!$A:$BL,60,0),"")</f>
        <v>0</v>
      </c>
      <c r="R3">
        <f>IFERROR(VLOOKUP($A3,[3]측정!$A:$BL,61,0),"")</f>
        <v>0</v>
      </c>
      <c r="S3">
        <f>IFERROR(VLOOKUP($A3,[3]측정!$A:$BL,62,0),"")</f>
        <v>0</v>
      </c>
      <c r="T3">
        <f>IFERROR(VLOOKUP($A3,[3]측정!$A:$BL,63,0),"")</f>
        <v>0</v>
      </c>
      <c r="U3">
        <f>IFERROR(VLOOKUP($A3,[3]측정!$A:$BL,64,0),"")</f>
        <v>0</v>
      </c>
      <c r="V3" t="str">
        <f>IFERROR(VLOOKUP($A3,[3]측정!$A:$M,5,0),"")</f>
        <v>언더컷</v>
      </c>
      <c r="W3">
        <f>IFERROR(VLOOKUP($A3,[3]측정!$A:$M,6,0),"")</f>
        <v>84.85</v>
      </c>
      <c r="X3">
        <f>IFERROR(VLOOKUP($A3,[3]측정!$A:$M,7,0),"")</f>
        <v>84.87</v>
      </c>
      <c r="Y3">
        <f>IFERROR(VLOOKUP($A3,[3]측정!$A:$M,8,0),"")</f>
        <v>0</v>
      </c>
      <c r="Z3">
        <f>IFERROR(VLOOKUP($A3,[3]측정!$A:$M,9,0),"")</f>
        <v>0</v>
      </c>
      <c r="AA3">
        <f>IFERROR(VLOOKUP($A3,[3]측정!$A:$M,10,0),"")</f>
        <v>0</v>
      </c>
      <c r="AB3">
        <f>IFERROR(VLOOKUP($A3,[3]측정!$A:$M,11,0),"")</f>
        <v>0</v>
      </c>
      <c r="AC3">
        <f>IFERROR(VLOOKUP($A3,[3]측정!$A:$M,12,0),"")</f>
        <v>0</v>
      </c>
      <c r="AD3">
        <f>IFERROR(VLOOKUP($A3,[3]측정!$A:$M,13,0),"")</f>
        <v>0</v>
      </c>
      <c r="AE3" t="str">
        <f>IFERROR(VLOOKUP($A3,[4]측정_24H데이타!$A:$AE,5,0),"")</f>
        <v>외경</v>
      </c>
      <c r="AF3">
        <f>IFERROR(VLOOKUP($A3,[4]측정_24H데이타!$A:$AE,6,0),"")</f>
        <v>84.73</v>
      </c>
      <c r="AG3">
        <f>IFERROR(VLOOKUP($A3,[4]측정_24H데이타!$A:$AE,7,0),"")</f>
        <v>84.77</v>
      </c>
      <c r="AH3">
        <f>IFERROR(VLOOKUP($A3,[4]측정_24H데이타!$A:$AE,8,0),"")</f>
        <v>0</v>
      </c>
      <c r="AI3">
        <f>IFERROR(VLOOKUP($A3,[4]측정_24H데이타!$A:$AE,9,0),"")</f>
        <v>0</v>
      </c>
      <c r="AJ3">
        <f>IFERROR(VLOOKUP($A3,[4]측정_24H데이타!$A:$AE,10,0),"")</f>
        <v>0</v>
      </c>
      <c r="AK3">
        <f>IFERROR(VLOOKUP($A3,[4]측정_24H데이타!$A:$AE,11,0),"")</f>
        <v>0</v>
      </c>
      <c r="AL3">
        <f>IFERROR(VLOOKUP($A3,[4]측정_24H데이타!$A:$AE,12,0),"")</f>
        <v>0</v>
      </c>
      <c r="AM3">
        <f>IFERROR(VLOOKUP($A3,[4]측정_24H데이타!$A:$AE,13,0),"")</f>
        <v>0</v>
      </c>
      <c r="AN3" t="str">
        <f>IFERROR(VLOOKUP($A3,[3]측정!$A:$AD,22,0),"")</f>
        <v>언더컷</v>
      </c>
      <c r="AO3">
        <f>IFERROR(VLOOKUP($A3,[3]측정!$A:$AD,23,0),"")</f>
        <v>0</v>
      </c>
      <c r="AP3">
        <f>IFERROR(VLOOKUP($A3,[3]측정!$A:$AD,24,0),"")</f>
        <v>0</v>
      </c>
      <c r="AQ3">
        <f>IFERROR(VLOOKUP($A3,[3]측정!$A:$AD,25,0),"")</f>
        <v>0</v>
      </c>
      <c r="AR3">
        <f>IFERROR(VLOOKUP($A3,[3]측정!$A:$AD,26,0),"")</f>
        <v>0</v>
      </c>
      <c r="AS3">
        <f>IFERROR(VLOOKUP($A3,[3]측정!$A:$AD,27,0),"")</f>
        <v>0</v>
      </c>
      <c r="AT3">
        <f>IFERROR(VLOOKUP($A3,[3]측정!$A:$AD,28,0),"")</f>
        <v>0</v>
      </c>
      <c r="AU3">
        <f>IFERROR(VLOOKUP($A3,[3]측정!$A:$AD,29,0),"")</f>
        <v>0</v>
      </c>
      <c r="AV3">
        <f>IFERROR(VLOOKUP($A3,[3]측정!$A:$AD,30,0),"")</f>
        <v>0</v>
      </c>
      <c r="AW3" t="str">
        <f>IFERROR(VLOOKUP($A3,[4]측정_24H데이타!$A:$AE,14,0),"")</f>
        <v>언더컷</v>
      </c>
      <c r="AX3">
        <f>IFERROR(VLOOKUP($A3,[4]측정_24H데이타!$A:$AE,15,0),"")</f>
        <v>79.900000000000006</v>
      </c>
      <c r="AY3">
        <f>IFERROR(VLOOKUP($A3,[4]측정_24H데이타!$A:$AE,16,0),"")</f>
        <v>79.83</v>
      </c>
      <c r="AZ3">
        <f>IFERROR(VLOOKUP($A3,[4]측정_24H데이타!$A:$AE,17,0),"")</f>
        <v>0</v>
      </c>
      <c r="BA3">
        <f>IFERROR(VLOOKUP($A3,[4]측정_24H데이타!$A:$AE,18,0),"")</f>
        <v>0</v>
      </c>
      <c r="BB3">
        <f>IFERROR(VLOOKUP($A3,[4]측정_24H데이타!$A:$AE,19,0),"")</f>
        <v>0</v>
      </c>
      <c r="BC3">
        <f>IFERROR(VLOOKUP($A3,[4]측정_24H데이타!$A:$AE,20,0),"")</f>
        <v>0</v>
      </c>
      <c r="BD3">
        <f>IFERROR(VLOOKUP($A3,[4]측정_24H데이타!$A:$AE,21,0),"")</f>
        <v>0</v>
      </c>
      <c r="BE3">
        <f>IFERROR(VLOOKUP($A3,[4]측정_24H데이타!$A:$AE,22,0),"")</f>
        <v>0</v>
      </c>
      <c r="BF3" t="str">
        <f>IFERROR(VLOOKUP($A3,[3]측정!$A:$AU,39,0),"")</f>
        <v>입구경</v>
      </c>
      <c r="BG3">
        <f>IFERROR(VLOOKUP($A3,[3]측정!$A:$AU,40,0),"")</f>
        <v>0</v>
      </c>
      <c r="BH3">
        <f>IFERROR(VLOOKUP($A3,[3]측정!$A:$AU,41,0),"")</f>
        <v>0</v>
      </c>
      <c r="BI3">
        <f>IFERROR(VLOOKUP($A3,[3]측정!$A:$AU,42,0),"")</f>
        <v>0</v>
      </c>
      <c r="BJ3">
        <f>IFERROR(VLOOKUP($A3,[3]측정!$A:$AU,43,0),"")</f>
        <v>0</v>
      </c>
      <c r="BK3">
        <f>IFERROR(VLOOKUP($A3,[3]측정!$A:$AU,44,0),"")</f>
        <v>0</v>
      </c>
      <c r="BL3">
        <f>IFERROR(VLOOKUP($A3,[3]측정!$A:$AU,45,0),"")</f>
        <v>0</v>
      </c>
      <c r="BM3">
        <f>IFERROR(VLOOKUP($A3,[3]측정!$A:$AU,46,0),"")</f>
        <v>0</v>
      </c>
      <c r="BN3">
        <f>IFERROR(VLOOKUP($A3,[3]측정!$A:$AU,47,0),"")</f>
        <v>0</v>
      </c>
      <c r="BO3" t="str">
        <f>IFERROR(VLOOKUP($A3,[4]측정_24H데이타!$A:$AE,23,0),"")</f>
        <v>입구경</v>
      </c>
      <c r="BP3">
        <f>IFERROR(VLOOKUP($A3,[4]측정_24H데이타!$A:$AE,24,0),"")</f>
        <v>0</v>
      </c>
      <c r="BQ3">
        <f>IFERROR(VLOOKUP($A3,[4]측정_24H데이타!$A:$AE,25,0),"")</f>
        <v>0</v>
      </c>
      <c r="BR3">
        <f>IFERROR(VLOOKUP($A3,[4]측정_24H데이타!$A:$AE,26,0),"")</f>
        <v>0</v>
      </c>
      <c r="BS3">
        <f>IFERROR(VLOOKUP($A3,[4]측정_24H데이타!$A:$AE,27,0),"")</f>
        <v>0</v>
      </c>
      <c r="BT3">
        <f>IFERROR(VLOOKUP($A3,[4]측정_24H데이타!$A:$AE,28,0),"")</f>
        <v>0</v>
      </c>
      <c r="BU3">
        <f>IFERROR(VLOOKUP($A3,[4]측정_24H데이타!$A:$AE,29,0),"")</f>
        <v>0</v>
      </c>
      <c r="BV3">
        <f>IFERROR(VLOOKUP($A3,[4]측정_24H데이타!$A:$AE,30,0),"")</f>
        <v>0</v>
      </c>
      <c r="BW3">
        <f>IFERROR(VLOOKUP($A3,[4]측정_24H데이타!$A:$AE,31,0),"")</f>
        <v>0</v>
      </c>
    </row>
    <row r="4" spans="1:75">
      <c r="A4" t="str">
        <v>SI1615_20250812</v>
      </c>
      <c r="B4" t="str">
        <v>설화수 진설명작크림 60ML (26AD 캡장식-하단링</v>
      </c>
      <c r="C4" t="str">
        <v>SI1615</v>
      </c>
      <c r="D4" s="1">
        <v>45882</v>
      </c>
      <c r="E4" s="1" t="str">
        <v>유재호</v>
      </c>
      <c r="F4" t="str">
        <v>MP0670</v>
      </c>
      <c r="G4" t="str">
        <v>DJ250610-4</v>
      </c>
      <c r="H4">
        <v>5</v>
      </c>
      <c r="I4">
        <v>26</v>
      </c>
      <c r="J4">
        <v>250725</v>
      </c>
      <c r="K4" t="str">
        <v>M251185_01</v>
      </c>
      <c r="L4">
        <f>IFERROR(VLOOKUP($A4,'[3]사출실험_CYCLE TIME'!$A:$H,8,0),"")</f>
        <v>38</v>
      </c>
      <c r="M4">
        <f>IFERROR(VLOOKUP($A4,[3]측정!$A:$BL,56,0),"")</f>
        <v>2.38</v>
      </c>
      <c r="N4">
        <f>IFERROR(VLOOKUP($A4,[3]측정!$A:$BL,57,0),"")</f>
        <v>3.34</v>
      </c>
      <c r="O4">
        <f>IFERROR(VLOOKUP($A4,[3]측정!$A:$BL,58,0),"")</f>
        <v>3.33</v>
      </c>
      <c r="P4">
        <f>IFERROR(VLOOKUP($A4,[3]측정!$A:$BL,59,0),"")</f>
        <v>0</v>
      </c>
      <c r="Q4">
        <f>IFERROR(VLOOKUP($A4,[3]측정!$A:$BL,60,0),"")</f>
        <v>0</v>
      </c>
      <c r="R4">
        <f>IFERROR(VLOOKUP($A4,[3]측정!$A:$BL,61,0),"")</f>
        <v>0</v>
      </c>
      <c r="S4">
        <f>IFERROR(VLOOKUP($A4,[3]측정!$A:$BL,62,0),"")</f>
        <v>0</v>
      </c>
      <c r="T4">
        <f>IFERROR(VLOOKUP($A4,[3]측정!$A:$BL,63,0),"")</f>
        <v>0</v>
      </c>
      <c r="U4">
        <f>IFERROR(VLOOKUP($A4,[3]측정!$A:$BL,64,0),"")</f>
        <v>0</v>
      </c>
      <c r="V4" t="str">
        <f>IFERROR(VLOOKUP($A4,[3]측정!$A:$M,5,0),"")</f>
        <v>외경</v>
      </c>
      <c r="W4">
        <f>IFERROR(VLOOKUP($A4,[3]측정!$A:$M,6,0),"")</f>
        <v>84.92</v>
      </c>
      <c r="X4">
        <f>IFERROR(VLOOKUP($A4,[3]측정!$A:$M,7,0),"")</f>
        <v>84.93</v>
      </c>
      <c r="Y4">
        <f>IFERROR(VLOOKUP($A4,[3]측정!$A:$M,8,0),"")</f>
        <v>0</v>
      </c>
      <c r="Z4">
        <f>IFERROR(VLOOKUP($A4,[3]측정!$A:$M,9,0),"")</f>
        <v>0</v>
      </c>
      <c r="AA4">
        <f>IFERROR(VLOOKUP($A4,[3]측정!$A:$M,10,0),"")</f>
        <v>0</v>
      </c>
      <c r="AB4">
        <f>IFERROR(VLOOKUP($A4,[3]측정!$A:$M,11,0),"")</f>
        <v>0</v>
      </c>
      <c r="AC4">
        <f>IFERROR(VLOOKUP($A4,[3]측정!$A:$M,12,0),"")</f>
        <v>0</v>
      </c>
      <c r="AD4">
        <f>IFERROR(VLOOKUP($A4,[3]측정!$A:$M,13,0),"")</f>
        <v>0</v>
      </c>
      <c r="AE4" t="str">
        <f>IFERROR(VLOOKUP($A4,[4]측정_24H데이타!$A:$AE,5,0),"")</f>
        <v>외경</v>
      </c>
      <c r="AF4">
        <f>IFERROR(VLOOKUP($A4,[4]측정_24H데이타!$A:$AE,6,0),"")</f>
        <v>84.46</v>
      </c>
      <c r="AG4">
        <f>IFERROR(VLOOKUP($A4,[4]측정_24H데이타!$A:$AE,7,0),"")</f>
        <v>84.49</v>
      </c>
      <c r="AH4">
        <f>IFERROR(VLOOKUP($A4,[4]측정_24H데이타!$A:$AE,8,0),"")</f>
        <v>0</v>
      </c>
      <c r="AI4">
        <f>IFERROR(VLOOKUP($A4,[4]측정_24H데이타!$A:$AE,9,0),"")</f>
        <v>0</v>
      </c>
      <c r="AJ4">
        <f>IFERROR(VLOOKUP($A4,[4]측정_24H데이타!$A:$AE,10,0),"")</f>
        <v>0</v>
      </c>
      <c r="AK4">
        <f>IFERROR(VLOOKUP($A4,[4]측정_24H데이타!$A:$AE,11,0),"")</f>
        <v>0</v>
      </c>
      <c r="AL4">
        <f>IFERROR(VLOOKUP($A4,[4]측정_24H데이타!$A:$AE,12,0),"")</f>
        <v>0</v>
      </c>
      <c r="AM4">
        <f>IFERROR(VLOOKUP($A4,[4]측정_24H데이타!$A:$AE,13,0),"")</f>
        <v>0</v>
      </c>
      <c r="AN4" t="str">
        <f>IFERROR(VLOOKUP($A4,[3]측정!$A:$AD,22,0),"")</f>
        <v>언더컷</v>
      </c>
      <c r="AO4">
        <f>IFERROR(VLOOKUP($A4,[3]측정!$A:$AD,23,0),"")</f>
        <v>0</v>
      </c>
      <c r="AP4">
        <f>IFERROR(VLOOKUP($A4,[3]측정!$A:$AD,24,0),"")</f>
        <v>0</v>
      </c>
      <c r="AQ4">
        <f>IFERROR(VLOOKUP($A4,[3]측정!$A:$AD,25,0),"")</f>
        <v>0</v>
      </c>
      <c r="AR4">
        <f>IFERROR(VLOOKUP($A4,[3]측정!$A:$AD,26,0),"")</f>
        <v>0</v>
      </c>
      <c r="AS4">
        <f>IFERROR(VLOOKUP($A4,[3]측정!$A:$AD,27,0),"")</f>
        <v>0</v>
      </c>
      <c r="AT4">
        <f>IFERROR(VLOOKUP($A4,[3]측정!$A:$AD,28,0),"")</f>
        <v>0</v>
      </c>
      <c r="AU4">
        <f>IFERROR(VLOOKUP($A4,[3]측정!$A:$AD,29,0),"")</f>
        <v>0</v>
      </c>
      <c r="AV4">
        <f>IFERROR(VLOOKUP($A4,[3]측정!$A:$AD,30,0),"")</f>
        <v>0</v>
      </c>
      <c r="AW4" t="str">
        <f>IFERROR(VLOOKUP($A4,[4]측정_24H데이타!$A:$AE,14,0),"")</f>
        <v>언더컷</v>
      </c>
      <c r="AX4">
        <f>IFERROR(VLOOKUP($A4,[4]측정_24H데이타!$A:$AE,15,0),"")</f>
        <v>79.819999999999993</v>
      </c>
      <c r="AY4">
        <f>IFERROR(VLOOKUP($A4,[4]측정_24H데이타!$A:$AE,16,0),"")</f>
        <v>79.78</v>
      </c>
      <c r="AZ4">
        <f>IFERROR(VLOOKUP($A4,[4]측정_24H데이타!$A:$AE,17,0),"")</f>
        <v>0</v>
      </c>
      <c r="BA4">
        <f>IFERROR(VLOOKUP($A4,[4]측정_24H데이타!$A:$AE,18,0),"")</f>
        <v>0</v>
      </c>
      <c r="BB4">
        <f>IFERROR(VLOOKUP($A4,[4]측정_24H데이타!$A:$AE,19,0),"")</f>
        <v>0</v>
      </c>
      <c r="BC4">
        <f>IFERROR(VLOOKUP($A4,[4]측정_24H데이타!$A:$AE,20,0),"")</f>
        <v>0</v>
      </c>
      <c r="BD4">
        <f>IFERROR(VLOOKUP($A4,[4]측정_24H데이타!$A:$AE,21,0),"")</f>
        <v>0</v>
      </c>
      <c r="BE4">
        <f>IFERROR(VLOOKUP($A4,[4]측정_24H데이타!$A:$AE,22,0),"")</f>
        <v>0</v>
      </c>
      <c r="BF4">
        <f>IFERROR(VLOOKUP($A4,[3]측정!$A:$AU,39,0),"")</f>
        <v>0</v>
      </c>
      <c r="BG4">
        <f>IFERROR(VLOOKUP($A4,[3]측정!$A:$AU,40,0),"")</f>
        <v>0</v>
      </c>
      <c r="BH4">
        <f>IFERROR(VLOOKUP($A4,[3]측정!$A:$AU,41,0),"")</f>
        <v>0</v>
      </c>
      <c r="BI4">
        <f>IFERROR(VLOOKUP($A4,[3]측정!$A:$AU,42,0),"")</f>
        <v>0</v>
      </c>
      <c r="BJ4">
        <f>IFERROR(VLOOKUP($A4,[3]측정!$A:$AU,43,0),"")</f>
        <v>0</v>
      </c>
      <c r="BK4">
        <f>IFERROR(VLOOKUP($A4,[3]측정!$A:$AU,44,0),"")</f>
        <v>0</v>
      </c>
      <c r="BL4">
        <f>IFERROR(VLOOKUP($A4,[3]측정!$A:$AU,45,0),"")</f>
        <v>0</v>
      </c>
      <c r="BM4">
        <f>IFERROR(VLOOKUP($A4,[3]측정!$A:$AU,46,0),"")</f>
        <v>0</v>
      </c>
      <c r="BN4">
        <f>IFERROR(VLOOKUP($A4,[3]측정!$A:$AU,47,0),"")</f>
        <v>0</v>
      </c>
      <c r="BO4">
        <f>IFERROR(VLOOKUP($A4,[4]측정_24H데이타!$A:$AE,23,0),"")</f>
        <v>0</v>
      </c>
      <c r="BP4">
        <f>IFERROR(VLOOKUP($A4,[4]측정_24H데이타!$A:$AE,24,0),"")</f>
        <v>0</v>
      </c>
      <c r="BQ4">
        <f>IFERROR(VLOOKUP($A4,[4]측정_24H데이타!$A:$AE,25,0),"")</f>
        <v>0</v>
      </c>
      <c r="BR4">
        <f>IFERROR(VLOOKUP($A4,[4]측정_24H데이타!$A:$AE,26,0),"")</f>
        <v>0</v>
      </c>
      <c r="BS4">
        <f>IFERROR(VLOOKUP($A4,[4]측정_24H데이타!$A:$AE,27,0),"")</f>
        <v>0</v>
      </c>
      <c r="BT4">
        <f>IFERROR(VLOOKUP($A4,[4]측정_24H데이타!$A:$AE,28,0),"")</f>
        <v>0</v>
      </c>
      <c r="BU4">
        <f>IFERROR(VLOOKUP($A4,[4]측정_24H데이타!$A:$AE,29,0),"")</f>
        <v>0</v>
      </c>
      <c r="BV4">
        <f>IFERROR(VLOOKUP($A4,[4]측정_24H데이타!$A:$AE,30,0),"")</f>
        <v>0</v>
      </c>
      <c r="BW4">
        <f>IFERROR(VLOOKUP($A4,[4]측정_24H데이타!$A:$AE,31,0),"")</f>
        <v>0</v>
      </c>
    </row>
    <row r="5" spans="1:75">
      <c r="A5" t="str">
        <v>SI1615_20260224</v>
      </c>
      <c r="B5" t="str">
        <v>설화수 진설명작크림 60ML (26AD 캡장식-하단링</v>
      </c>
      <c r="C5" t="str">
        <v>SI1615</v>
      </c>
      <c r="D5" s="1">
        <v>46077</v>
      </c>
      <c r="E5" s="1" t="str">
        <v>유재호</v>
      </c>
      <c r="F5" t="str">
        <v>MP0670</v>
      </c>
      <c r="G5" t="str">
        <v>DJ250610-4</v>
      </c>
      <c r="H5">
        <v>5</v>
      </c>
      <c r="I5">
        <v>17</v>
      </c>
      <c r="J5">
        <v>250725</v>
      </c>
      <c r="K5" t="str">
        <v>M251185_01</v>
      </c>
      <c r="L5" t="str">
        <f>IFERROR(VLOOKUP($A5,'[3]사출실험_CYCLE TIME'!$A:$H,8,0),"")</f>
        <v/>
      </c>
      <c r="M5" t="str">
        <f>IFERROR(VLOOKUP($A5,[3]측정!$A:$BL,56,0),"")</f>
        <v/>
      </c>
      <c r="N5" t="str">
        <f>IFERROR(VLOOKUP($A5,[3]측정!$A:$BL,57,0),"")</f>
        <v/>
      </c>
      <c r="O5" t="str">
        <f>IFERROR(VLOOKUP($A5,[3]측정!$A:$BL,58,0),"")</f>
        <v/>
      </c>
      <c r="P5" t="str">
        <f>IFERROR(VLOOKUP($A5,[3]측정!$A:$BL,59,0),"")</f>
        <v/>
      </c>
      <c r="Q5" t="str">
        <f>IFERROR(VLOOKUP($A5,[3]측정!$A:$BL,60,0),"")</f>
        <v/>
      </c>
      <c r="R5" t="str">
        <f>IFERROR(VLOOKUP($A5,[3]측정!$A:$BL,61,0),"")</f>
        <v/>
      </c>
      <c r="S5" t="str">
        <f>IFERROR(VLOOKUP($A5,[3]측정!$A:$BL,62,0),"")</f>
        <v/>
      </c>
      <c r="T5" t="str">
        <f>IFERROR(VLOOKUP($A5,[3]측정!$A:$BL,63,0),"")</f>
        <v/>
      </c>
      <c r="U5" t="str">
        <f>IFERROR(VLOOKUP($A5,[3]측정!$A:$BL,64,0),"")</f>
        <v/>
      </c>
      <c r="V5" t="str">
        <f>IFERROR(VLOOKUP($A5,[3]측정!$A:$M,5,0),"")</f>
        <v/>
      </c>
      <c r="W5" t="str">
        <f>IFERROR(VLOOKUP($A5,[3]측정!$A:$M,6,0),"")</f>
        <v/>
      </c>
      <c r="X5" t="str">
        <f>IFERROR(VLOOKUP($A5,[3]측정!$A:$M,7,0),"")</f>
        <v/>
      </c>
      <c r="Y5" t="str">
        <f>IFERROR(VLOOKUP($A5,[3]측정!$A:$M,8,0),"")</f>
        <v/>
      </c>
      <c r="Z5" t="str">
        <f>IFERROR(VLOOKUP($A5,[3]측정!$A:$M,9,0),"")</f>
        <v/>
      </c>
      <c r="AA5" t="str">
        <f>IFERROR(VLOOKUP($A5,[3]측정!$A:$M,10,0),"")</f>
        <v/>
      </c>
      <c r="AB5" t="str">
        <f>IFERROR(VLOOKUP($A5,[3]측정!$A:$M,11,0),"")</f>
        <v/>
      </c>
      <c r="AC5" t="str">
        <f>IFERROR(VLOOKUP($A5,[3]측정!$A:$M,12,0),"")</f>
        <v/>
      </c>
      <c r="AD5" t="str">
        <f>IFERROR(VLOOKUP($A5,[3]측정!$A:$M,13,0),"")</f>
        <v/>
      </c>
      <c r="AE5" t="str">
        <f>IFERROR(VLOOKUP($A5,[4]측정_24H데이타!$A:$AE,5,0),"")</f>
        <v/>
      </c>
      <c r="AF5" t="str">
        <f>IFERROR(VLOOKUP($A5,[4]측정_24H데이타!$A:$AE,6,0),"")</f>
        <v/>
      </c>
      <c r="AG5" t="str">
        <f>IFERROR(VLOOKUP($A5,[4]측정_24H데이타!$A:$AE,7,0),"")</f>
        <v/>
      </c>
      <c r="AH5" t="str">
        <f>IFERROR(VLOOKUP($A5,[4]측정_24H데이타!$A:$AE,8,0),"")</f>
        <v/>
      </c>
      <c r="AI5" t="str">
        <f>IFERROR(VLOOKUP($A5,[4]측정_24H데이타!$A:$AE,9,0),"")</f>
        <v/>
      </c>
      <c r="AJ5" t="str">
        <f>IFERROR(VLOOKUP($A5,[4]측정_24H데이타!$A:$AE,10,0),"")</f>
        <v/>
      </c>
      <c r="AK5" t="str">
        <f>IFERROR(VLOOKUP($A5,[4]측정_24H데이타!$A:$AE,11,0),"")</f>
        <v/>
      </c>
      <c r="AL5" t="str">
        <f>IFERROR(VLOOKUP($A5,[4]측정_24H데이타!$A:$AE,12,0),"")</f>
        <v/>
      </c>
      <c r="AM5" t="str">
        <f>IFERROR(VLOOKUP($A5,[4]측정_24H데이타!$A:$AE,13,0),"")</f>
        <v/>
      </c>
      <c r="AN5" t="str">
        <f>IFERROR(VLOOKUP($A5,[3]측정!$A:$AD,22,0),"")</f>
        <v/>
      </c>
      <c r="AO5" t="str">
        <f>IFERROR(VLOOKUP($A5,[3]측정!$A:$AD,23,0),"")</f>
        <v/>
      </c>
      <c r="AP5" t="str">
        <f>IFERROR(VLOOKUP($A5,[3]측정!$A:$AD,24,0),"")</f>
        <v/>
      </c>
      <c r="AQ5" t="str">
        <f>IFERROR(VLOOKUP($A5,[3]측정!$A:$AD,25,0),"")</f>
        <v/>
      </c>
      <c r="AR5" t="str">
        <f>IFERROR(VLOOKUP($A5,[3]측정!$A:$AD,26,0),"")</f>
        <v/>
      </c>
      <c r="AS5" t="str">
        <f>IFERROR(VLOOKUP($A5,[3]측정!$A:$AD,27,0),"")</f>
        <v/>
      </c>
      <c r="AT5" t="str">
        <f>IFERROR(VLOOKUP($A5,[3]측정!$A:$AD,28,0),"")</f>
        <v/>
      </c>
      <c r="AU5" t="str">
        <f>IFERROR(VLOOKUP($A5,[3]측정!$A:$AD,29,0),"")</f>
        <v/>
      </c>
      <c r="AV5" t="str">
        <f>IFERROR(VLOOKUP($A5,[3]측정!$A:$AD,30,0),"")</f>
        <v/>
      </c>
      <c r="AW5" t="str">
        <f>IFERROR(VLOOKUP($A5,[4]측정_24H데이타!$A:$AE,14,0),"")</f>
        <v/>
      </c>
      <c r="AX5" t="str">
        <f>IFERROR(VLOOKUP($A5,[4]측정_24H데이타!$A:$AE,15,0),"")</f>
        <v/>
      </c>
      <c r="AY5" t="str">
        <f>IFERROR(VLOOKUP($A5,[4]측정_24H데이타!$A:$AE,16,0),"")</f>
        <v/>
      </c>
      <c r="AZ5" t="str">
        <f>IFERROR(VLOOKUP($A5,[4]측정_24H데이타!$A:$AE,17,0),"")</f>
        <v/>
      </c>
      <c r="BA5" t="str">
        <f>IFERROR(VLOOKUP($A5,[4]측정_24H데이타!$A:$AE,18,0),"")</f>
        <v/>
      </c>
      <c r="BB5" t="str">
        <f>IFERROR(VLOOKUP($A5,[4]측정_24H데이타!$A:$AE,19,0),"")</f>
        <v/>
      </c>
      <c r="BC5" t="str">
        <f>IFERROR(VLOOKUP($A5,[4]측정_24H데이타!$A:$AE,20,0),"")</f>
        <v/>
      </c>
      <c r="BD5" t="str">
        <f>IFERROR(VLOOKUP($A5,[4]측정_24H데이타!$A:$AE,21,0),"")</f>
        <v/>
      </c>
      <c r="BE5" t="str">
        <f>IFERROR(VLOOKUP($A5,[4]측정_24H데이타!$A:$AE,22,0),"")</f>
        <v/>
      </c>
      <c r="BF5" t="str">
        <f>IFERROR(VLOOKUP($A5,[3]측정!$A:$AU,39,0),"")</f>
        <v/>
      </c>
      <c r="BG5" t="str">
        <f>IFERROR(VLOOKUP($A5,[3]측정!$A:$AU,40,0),"")</f>
        <v/>
      </c>
      <c r="BH5" t="str">
        <f>IFERROR(VLOOKUP($A5,[3]측정!$A:$AU,41,0),"")</f>
        <v/>
      </c>
      <c r="BI5" t="str">
        <f>IFERROR(VLOOKUP($A5,[3]측정!$A:$AU,42,0),"")</f>
        <v/>
      </c>
      <c r="BJ5" t="str">
        <f>IFERROR(VLOOKUP($A5,[3]측정!$A:$AU,43,0),"")</f>
        <v/>
      </c>
      <c r="BK5" t="str">
        <f>IFERROR(VLOOKUP($A5,[3]측정!$A:$AU,44,0),"")</f>
        <v/>
      </c>
      <c r="BL5" t="str">
        <f>IFERROR(VLOOKUP($A5,[3]측정!$A:$AU,45,0),"")</f>
        <v/>
      </c>
      <c r="BM5" t="str">
        <f>IFERROR(VLOOKUP($A5,[3]측정!$A:$AU,46,0),"")</f>
        <v/>
      </c>
      <c r="BN5" t="str">
        <f>IFERROR(VLOOKUP($A5,[3]측정!$A:$AU,47,0),"")</f>
        <v/>
      </c>
      <c r="BO5" t="str">
        <f>IFERROR(VLOOKUP($A5,[4]측정_24H데이타!$A:$AE,23,0),"")</f>
        <v/>
      </c>
      <c r="BP5" t="str">
        <f>IFERROR(VLOOKUP($A5,[4]측정_24H데이타!$A:$AE,24,0),"")</f>
        <v/>
      </c>
      <c r="BQ5" t="str">
        <f>IFERROR(VLOOKUP($A5,[4]측정_24H데이타!$A:$AE,25,0),"")</f>
        <v/>
      </c>
      <c r="BR5" t="str">
        <f>IFERROR(VLOOKUP($A5,[4]측정_24H데이타!$A:$AE,26,0),"")</f>
        <v/>
      </c>
      <c r="BS5" t="str">
        <f>IFERROR(VLOOKUP($A5,[4]측정_24H데이타!$A:$AE,27,0),"")</f>
        <v/>
      </c>
      <c r="BT5" t="str">
        <f>IFERROR(VLOOKUP($A5,[4]측정_24H데이타!$A:$AE,28,0),"")</f>
        <v/>
      </c>
      <c r="BU5" t="str">
        <f>IFERROR(VLOOKUP($A5,[4]측정_24H데이타!$A:$AE,29,0),"")</f>
        <v/>
      </c>
      <c r="BV5" t="str">
        <f>IFERROR(VLOOKUP($A5,[4]측정_24H데이타!$A:$AE,30,0),"")</f>
        <v/>
      </c>
      <c r="BW5" t="str">
        <f>IFERROR(VLOOKUP($A5,[4]측정_24H데이타!$A:$AE,31,0),"")</f>
        <v/>
      </c>
    </row>
    <row r="6" spans="1:75">
      <c r="A6" t="str">
        <v>SI1615_20260618</v>
      </c>
      <c r="B6" t="str">
        <v>설화수 진설명작크림 60ML (26AD 캡장식-하단링</v>
      </c>
      <c r="C6" t="str">
        <v>SI1615</v>
      </c>
      <c r="D6" s="1">
        <v>46191</v>
      </c>
      <c r="E6" s="1" t="str">
        <v>장세래</v>
      </c>
      <c r="F6" t="str">
        <v>MP0670</v>
      </c>
      <c r="G6" t="str">
        <v>DJ50431</v>
      </c>
      <c r="H6">
        <v>5</v>
      </c>
      <c r="I6">
        <v>13</v>
      </c>
      <c r="J6">
        <v>250725</v>
      </c>
      <c r="K6" t="str">
        <v>M251185_01</v>
      </c>
      <c r="L6">
        <f>IFERROR(VLOOKUP($A6,'[3]사출실험_CYCLE TIME'!$A:$H,8,0),"")</f>
        <v>0</v>
      </c>
      <c r="M6">
        <f>IFERROR(VLOOKUP($A6,[3]측정!$A:$BL,56,0),"")</f>
        <v>0</v>
      </c>
      <c r="N6">
        <f>IFERROR(VLOOKUP($A6,[3]측정!$A:$BL,57,0),"")</f>
        <v>3.37</v>
      </c>
      <c r="O6">
        <f>IFERROR(VLOOKUP($A6,[3]측정!$A:$BL,58,0),"")</f>
        <v>3.36</v>
      </c>
      <c r="P6">
        <f>IFERROR(VLOOKUP($A6,[3]측정!$A:$BL,59,0),"")</f>
        <v>0</v>
      </c>
      <c r="Q6">
        <f>IFERROR(VLOOKUP($A6,[3]측정!$A:$BL,60,0),"")</f>
        <v>0</v>
      </c>
      <c r="R6">
        <f>IFERROR(VLOOKUP($A6,[3]측정!$A:$BL,61,0),"")</f>
        <v>0</v>
      </c>
      <c r="S6">
        <f>IFERROR(VLOOKUP($A6,[3]측정!$A:$BL,62,0),"")</f>
        <v>0</v>
      </c>
      <c r="T6">
        <f>IFERROR(VLOOKUP($A6,[3]측정!$A:$BL,63,0),"")</f>
        <v>0</v>
      </c>
      <c r="U6">
        <f>IFERROR(VLOOKUP($A6,[3]측정!$A:$BL,64,0),"")</f>
        <v>0</v>
      </c>
      <c r="V6" t="str">
        <f>IFERROR(VLOOKUP($A6,[3]측정!$A:$M,5,0),"")</f>
        <v>외경</v>
      </c>
      <c r="W6">
        <f>IFERROR(VLOOKUP($A6,[3]측정!$A:$M,6,0),"")</f>
        <v>84.92</v>
      </c>
      <c r="X6">
        <f>IFERROR(VLOOKUP($A6,[3]측정!$A:$M,7,0),"")</f>
        <v>84.9</v>
      </c>
      <c r="Y6">
        <f>IFERROR(VLOOKUP($A6,[3]측정!$A:$M,8,0),"")</f>
        <v>0</v>
      </c>
      <c r="Z6">
        <f>IFERROR(VLOOKUP($A6,[3]측정!$A:$M,9,0),"")</f>
        <v>0</v>
      </c>
      <c r="AA6">
        <f>IFERROR(VLOOKUP($A6,[3]측정!$A:$M,10,0),"")</f>
        <v>0</v>
      </c>
      <c r="AB6">
        <f>IFERROR(VLOOKUP($A6,[3]측정!$A:$M,11,0),"")</f>
        <v>0</v>
      </c>
      <c r="AC6">
        <f>IFERROR(VLOOKUP($A6,[3]측정!$A:$M,12,0),"")</f>
        <v>0</v>
      </c>
      <c r="AD6">
        <f>IFERROR(VLOOKUP($A6,[3]측정!$A:$M,13,0),"")</f>
        <v>0</v>
      </c>
      <c r="AE6" t="str">
        <f>IFERROR(VLOOKUP($A6,[4]측정_24H데이타!$A:$AE,5,0),"")</f>
        <v>외경</v>
      </c>
      <c r="AF6">
        <f>IFERROR(VLOOKUP($A6,[4]측정_24H데이타!$A:$AE,6,0),"")</f>
        <v>84.77</v>
      </c>
      <c r="AG6">
        <f>IFERROR(VLOOKUP($A6,[4]측정_24H데이타!$A:$AE,7,0),"")</f>
        <v>84.78</v>
      </c>
      <c r="AH6">
        <f>IFERROR(VLOOKUP($A6,[4]측정_24H데이타!$A:$AE,8,0),"")</f>
        <v>0</v>
      </c>
      <c r="AI6">
        <f>IFERROR(VLOOKUP($A6,[4]측정_24H데이타!$A:$AE,9,0),"")</f>
        <v>0</v>
      </c>
      <c r="AJ6">
        <f>IFERROR(VLOOKUP($A6,[4]측정_24H데이타!$A:$AE,10,0),"")</f>
        <v>0</v>
      </c>
      <c r="AK6">
        <f>IFERROR(VLOOKUP($A6,[4]측정_24H데이타!$A:$AE,11,0),"")</f>
        <v>0</v>
      </c>
      <c r="AL6">
        <f>IFERROR(VLOOKUP($A6,[4]측정_24H데이타!$A:$AE,12,0),"")</f>
        <v>0</v>
      </c>
      <c r="AM6">
        <f>IFERROR(VLOOKUP($A6,[4]측정_24H데이타!$A:$AE,13,0),"")</f>
        <v>0</v>
      </c>
      <c r="AN6" t="str">
        <f>IFERROR(VLOOKUP($A6,[3]측정!$A:$AD,22,0),"")</f>
        <v>언더컷</v>
      </c>
      <c r="AO6">
        <f>IFERROR(VLOOKUP($A6,[3]측정!$A:$AD,23,0),"")</f>
        <v>0</v>
      </c>
      <c r="AP6">
        <f>IFERROR(VLOOKUP($A6,[3]측정!$A:$AD,24,0),"")</f>
        <v>0</v>
      </c>
      <c r="AQ6">
        <f>IFERROR(VLOOKUP($A6,[3]측정!$A:$AD,25,0),"")</f>
        <v>0</v>
      </c>
      <c r="AR6">
        <f>IFERROR(VLOOKUP($A6,[3]측정!$A:$AD,26,0),"")</f>
        <v>0</v>
      </c>
      <c r="AS6">
        <f>IFERROR(VLOOKUP($A6,[3]측정!$A:$AD,27,0),"")</f>
        <v>0</v>
      </c>
      <c r="AT6">
        <f>IFERROR(VLOOKUP($A6,[3]측정!$A:$AD,28,0),"")</f>
        <v>0</v>
      </c>
      <c r="AU6">
        <f>IFERROR(VLOOKUP($A6,[3]측정!$A:$AD,29,0),"")</f>
        <v>0</v>
      </c>
      <c r="AV6">
        <f>IFERROR(VLOOKUP($A6,[3]측정!$A:$AD,30,0),"")</f>
        <v>0</v>
      </c>
      <c r="AW6" t="str">
        <f>IFERROR(VLOOKUP($A6,[4]측정_24H데이타!$A:$AE,14,0),"")</f>
        <v>언더컷</v>
      </c>
      <c r="AX6">
        <f>IFERROR(VLOOKUP($A6,[4]측정_24H데이타!$A:$AE,15,0),"")</f>
        <v>79.73</v>
      </c>
      <c r="AY6">
        <f>IFERROR(VLOOKUP($A6,[4]측정_24H데이타!$A:$AE,16,0),"")</f>
        <v>79.680000000000007</v>
      </c>
      <c r="AZ6">
        <f>IFERROR(VLOOKUP($A6,[4]측정_24H데이타!$A:$AE,17,0),"")</f>
        <v>0</v>
      </c>
      <c r="BA6">
        <f>IFERROR(VLOOKUP($A6,[4]측정_24H데이타!$A:$AE,18,0),"")</f>
        <v>0</v>
      </c>
      <c r="BB6">
        <f>IFERROR(VLOOKUP($A6,[4]측정_24H데이타!$A:$AE,19,0),"")</f>
        <v>0</v>
      </c>
      <c r="BC6">
        <f>IFERROR(VLOOKUP($A6,[4]측정_24H데이타!$A:$AE,20,0),"")</f>
        <v>0</v>
      </c>
      <c r="BD6">
        <f>IFERROR(VLOOKUP($A6,[4]측정_24H데이타!$A:$AE,21,0),"")</f>
        <v>0</v>
      </c>
      <c r="BE6">
        <f>IFERROR(VLOOKUP($A6,[4]측정_24H데이타!$A:$AE,22,0),"")</f>
        <v>0</v>
      </c>
      <c r="BF6">
        <f>IFERROR(VLOOKUP($A6,[3]측정!$A:$AU,39,0),"")</f>
        <v>0</v>
      </c>
      <c r="BG6">
        <f>IFERROR(VLOOKUP($A6,[3]측정!$A:$AU,40,0),"")</f>
        <v>0</v>
      </c>
      <c r="BH6">
        <f>IFERROR(VLOOKUP($A6,[3]측정!$A:$AU,41,0),"")</f>
        <v>0</v>
      </c>
      <c r="BI6">
        <f>IFERROR(VLOOKUP($A6,[3]측정!$A:$AU,42,0),"")</f>
        <v>0</v>
      </c>
      <c r="BJ6">
        <f>IFERROR(VLOOKUP($A6,[3]측정!$A:$AU,43,0),"")</f>
        <v>0</v>
      </c>
      <c r="BK6">
        <f>IFERROR(VLOOKUP($A6,[3]측정!$A:$AU,44,0),"")</f>
        <v>0</v>
      </c>
      <c r="BL6">
        <f>IFERROR(VLOOKUP($A6,[3]측정!$A:$AU,45,0),"")</f>
        <v>0</v>
      </c>
      <c r="BM6">
        <f>IFERROR(VLOOKUP($A6,[3]측정!$A:$AU,46,0),"")</f>
        <v>0</v>
      </c>
      <c r="BN6">
        <f>IFERROR(VLOOKUP($A6,[3]측정!$A:$AU,47,0),"")</f>
        <v>0</v>
      </c>
      <c r="BO6">
        <f>IFERROR(VLOOKUP($A6,[4]측정_24H데이타!$A:$AE,23,0),"")</f>
        <v>0</v>
      </c>
      <c r="BP6">
        <f>IFERROR(VLOOKUP($A6,[4]측정_24H데이타!$A:$AE,24,0),"")</f>
        <v>0</v>
      </c>
      <c r="BQ6">
        <f>IFERROR(VLOOKUP($A6,[4]측정_24H데이타!$A:$AE,25,0),"")</f>
        <v>0</v>
      </c>
      <c r="BR6">
        <f>IFERROR(VLOOKUP($A6,[4]측정_24H데이타!$A:$AE,26,0),"")</f>
        <v>0</v>
      </c>
      <c r="BS6">
        <f>IFERROR(VLOOKUP($A6,[4]측정_24H데이타!$A:$AE,27,0),"")</f>
        <v>0</v>
      </c>
      <c r="BT6">
        <f>IFERROR(VLOOKUP($A6,[4]측정_24H데이타!$A:$AE,28,0),"")</f>
        <v>0</v>
      </c>
      <c r="BU6">
        <f>IFERROR(VLOOKUP($A6,[4]측정_24H데이타!$A:$AE,29,0),"")</f>
        <v>0</v>
      </c>
      <c r="BV6">
        <f>IFERROR(VLOOKUP($A6,[4]측정_24H데이타!$A:$AE,30,0),"")</f>
        <v>0</v>
      </c>
      <c r="BW6">
        <f>IFERROR(VLOOKUP($A6,[4]측정_24H데이타!$A:$AE,31,0),"")</f>
        <v>0</v>
      </c>
    </row>
    <row r="7" spans="1:75">
      <c r="A7" t="str">
        <v>SI1615_20260707</v>
      </c>
      <c r="B7" t="str">
        <v>설화수 진설명작크림 60ML (26AD 캡장식-하단링</v>
      </c>
      <c r="C7" t="str">
        <v>SI1615</v>
      </c>
      <c r="D7" s="1">
        <v>46210</v>
      </c>
      <c r="E7" s="1" t="str">
        <v>유재호</v>
      </c>
      <c r="F7" t="str">
        <v>MP0670</v>
      </c>
      <c r="G7" t="str">
        <v>DJ50431</v>
      </c>
      <c r="H7">
        <v>5</v>
      </c>
      <c r="I7">
        <v>17</v>
      </c>
      <c r="J7">
        <v>250725</v>
      </c>
      <c r="K7" t="str">
        <v>M251185_01</v>
      </c>
      <c r="L7">
        <f>IFERROR(VLOOKUP($A7,'[3]사출실험_CYCLE TIME'!$A:$H,8,0),"")</f>
        <v>0</v>
      </c>
      <c r="M7">
        <f>IFERROR(VLOOKUP($A7,[3]측정!$A:$BL,56,0),"")</f>
        <v>2.38</v>
      </c>
      <c r="N7">
        <f>IFERROR(VLOOKUP($A7,[3]측정!$A:$BL,57,0),"")</f>
        <v>3.35</v>
      </c>
      <c r="O7">
        <f>IFERROR(VLOOKUP($A7,[3]측정!$A:$BL,58,0),"")</f>
        <v>3.36</v>
      </c>
      <c r="P7">
        <f>IFERROR(VLOOKUP($A7,[3]측정!$A:$BL,59,0),"")</f>
        <v>0</v>
      </c>
      <c r="Q7">
        <f>IFERROR(VLOOKUP($A7,[3]측정!$A:$BL,60,0),"")</f>
        <v>0</v>
      </c>
      <c r="R7">
        <f>IFERROR(VLOOKUP($A7,[3]측정!$A:$BL,61,0),"")</f>
        <v>0</v>
      </c>
      <c r="S7">
        <f>IFERROR(VLOOKUP($A7,[3]측정!$A:$BL,62,0),"")</f>
        <v>0</v>
      </c>
      <c r="T7">
        <f>IFERROR(VLOOKUP($A7,[3]측정!$A:$BL,63,0),"")</f>
        <v>0</v>
      </c>
      <c r="U7">
        <f>IFERROR(VLOOKUP($A7,[3]측정!$A:$BL,64,0),"")</f>
        <v>0</v>
      </c>
      <c r="V7" t="str">
        <f>IFERROR(VLOOKUP($A7,[3]측정!$A:$M,5,0),"")</f>
        <v>외경</v>
      </c>
      <c r="W7">
        <f>IFERROR(VLOOKUP($A7,[3]측정!$A:$M,6,0),"")</f>
        <v>85.16</v>
      </c>
      <c r="X7">
        <f>IFERROR(VLOOKUP($A7,[3]측정!$A:$M,7,0),"")</f>
        <v>85.18</v>
      </c>
      <c r="Y7">
        <f>IFERROR(VLOOKUP($A7,[3]측정!$A:$M,8,0),"")</f>
        <v>0</v>
      </c>
      <c r="Z7">
        <f>IFERROR(VLOOKUP($A7,[3]측정!$A:$M,9,0),"")</f>
        <v>0</v>
      </c>
      <c r="AA7">
        <f>IFERROR(VLOOKUP($A7,[3]측정!$A:$M,10,0),"")</f>
        <v>0</v>
      </c>
      <c r="AB7">
        <f>IFERROR(VLOOKUP($A7,[3]측정!$A:$M,11,0),"")</f>
        <v>0</v>
      </c>
      <c r="AC7">
        <f>IFERROR(VLOOKUP($A7,[3]측정!$A:$M,12,0),"")</f>
        <v>0</v>
      </c>
      <c r="AD7">
        <f>IFERROR(VLOOKUP($A7,[3]측정!$A:$M,13,0),"")</f>
        <v>0</v>
      </c>
      <c r="AE7" t="str">
        <f>IFERROR(VLOOKUP($A7,[4]측정_24H데이타!$A:$AE,5,0),"")</f>
        <v>외경</v>
      </c>
      <c r="AF7">
        <f>IFERROR(VLOOKUP($A7,[4]측정_24H데이타!$A:$AE,6,0),"")</f>
        <v>84.89</v>
      </c>
      <c r="AG7">
        <f>IFERROR(VLOOKUP($A7,[4]측정_24H데이타!$A:$AE,7,0),"")</f>
        <v>84.83</v>
      </c>
      <c r="AH7">
        <f>IFERROR(VLOOKUP($A7,[4]측정_24H데이타!$A:$AE,8,0),"")</f>
        <v>0</v>
      </c>
      <c r="AI7">
        <f>IFERROR(VLOOKUP($A7,[4]측정_24H데이타!$A:$AE,9,0),"")</f>
        <v>0</v>
      </c>
      <c r="AJ7">
        <f>IFERROR(VLOOKUP($A7,[4]측정_24H데이타!$A:$AE,10,0),"")</f>
        <v>0</v>
      </c>
      <c r="AK7">
        <f>IFERROR(VLOOKUP($A7,[4]측정_24H데이타!$A:$AE,11,0),"")</f>
        <v>0</v>
      </c>
      <c r="AL7">
        <f>IFERROR(VLOOKUP($A7,[4]측정_24H데이타!$A:$AE,12,0),"")</f>
        <v>0</v>
      </c>
      <c r="AM7">
        <f>IFERROR(VLOOKUP($A7,[4]측정_24H데이타!$A:$AE,13,0),"")</f>
        <v>0</v>
      </c>
      <c r="AN7" t="str">
        <f>IFERROR(VLOOKUP($A7,[3]측정!$A:$AD,22,0),"")</f>
        <v>언더컷</v>
      </c>
      <c r="AO7">
        <f>IFERROR(VLOOKUP($A7,[3]측정!$A:$AD,23,0),"")</f>
        <v>80.28</v>
      </c>
      <c r="AP7">
        <f>IFERROR(VLOOKUP($A7,[3]측정!$A:$AD,24,0),"")</f>
        <v>80.2</v>
      </c>
      <c r="AQ7">
        <f>IFERROR(VLOOKUP($A7,[3]측정!$A:$AD,25,0),"")</f>
        <v>0</v>
      </c>
      <c r="AR7">
        <f>IFERROR(VLOOKUP($A7,[3]측정!$A:$AD,26,0),"")</f>
        <v>0</v>
      </c>
      <c r="AS7">
        <f>IFERROR(VLOOKUP($A7,[3]측정!$A:$AD,27,0),"")</f>
        <v>0</v>
      </c>
      <c r="AT7">
        <f>IFERROR(VLOOKUP($A7,[3]측정!$A:$AD,28,0),"")</f>
        <v>0</v>
      </c>
      <c r="AU7">
        <f>IFERROR(VLOOKUP($A7,[3]측정!$A:$AD,29,0),"")</f>
        <v>0</v>
      </c>
      <c r="AV7">
        <f>IFERROR(VLOOKUP($A7,[3]측정!$A:$AD,30,0),"")</f>
        <v>0</v>
      </c>
      <c r="AW7" t="str">
        <f>IFERROR(VLOOKUP($A7,[4]측정_24H데이타!$A:$AE,14,0),"")</f>
        <v>언더컷</v>
      </c>
      <c r="AX7">
        <f>IFERROR(VLOOKUP($A7,[4]측정_24H데이타!$A:$AE,15,0),"")</f>
        <v>79.819999999999993</v>
      </c>
      <c r="AY7">
        <f>IFERROR(VLOOKUP($A7,[4]측정_24H데이타!$A:$AE,16,0),"")</f>
        <v>79.89</v>
      </c>
      <c r="AZ7">
        <f>IFERROR(VLOOKUP($A7,[4]측정_24H데이타!$A:$AE,17,0),"")</f>
        <v>0</v>
      </c>
      <c r="BA7">
        <f>IFERROR(VLOOKUP($A7,[4]측정_24H데이타!$A:$AE,18,0),"")</f>
        <v>0</v>
      </c>
      <c r="BB7">
        <f>IFERROR(VLOOKUP($A7,[4]측정_24H데이타!$A:$AE,19,0),"")</f>
        <v>0</v>
      </c>
      <c r="BC7">
        <f>IFERROR(VLOOKUP($A7,[4]측정_24H데이타!$A:$AE,20,0),"")</f>
        <v>0</v>
      </c>
      <c r="BD7">
        <f>IFERROR(VLOOKUP($A7,[4]측정_24H데이타!$A:$AE,21,0),"")</f>
        <v>0</v>
      </c>
      <c r="BE7">
        <f>IFERROR(VLOOKUP($A7,[4]측정_24H데이타!$A:$AE,22,0),"")</f>
        <v>0</v>
      </c>
      <c r="BF7">
        <f>IFERROR(VLOOKUP($A7,[3]측정!$A:$AU,39,0),"")</f>
        <v>0</v>
      </c>
      <c r="BG7">
        <f>IFERROR(VLOOKUP($A7,[3]측정!$A:$AU,40,0),"")</f>
        <v>0</v>
      </c>
      <c r="BH7">
        <f>IFERROR(VLOOKUP($A7,[3]측정!$A:$AU,41,0),"")</f>
        <v>0</v>
      </c>
      <c r="BI7">
        <f>IFERROR(VLOOKUP($A7,[3]측정!$A:$AU,42,0),"")</f>
        <v>0</v>
      </c>
      <c r="BJ7">
        <f>IFERROR(VLOOKUP($A7,[3]측정!$A:$AU,43,0),"")</f>
        <v>0</v>
      </c>
      <c r="BK7">
        <f>IFERROR(VLOOKUP($A7,[3]측정!$A:$AU,44,0),"")</f>
        <v>0</v>
      </c>
      <c r="BL7">
        <f>IFERROR(VLOOKUP($A7,[3]측정!$A:$AU,45,0),"")</f>
        <v>0</v>
      </c>
      <c r="BM7">
        <f>IFERROR(VLOOKUP($A7,[3]측정!$A:$AU,46,0),"")</f>
        <v>0</v>
      </c>
      <c r="BN7">
        <f>IFERROR(VLOOKUP($A7,[3]측정!$A:$AU,47,0),"")</f>
        <v>0</v>
      </c>
      <c r="BO7">
        <f>IFERROR(VLOOKUP($A7,[4]측정_24H데이타!$A:$AE,23,0),"")</f>
        <v>0</v>
      </c>
      <c r="BP7">
        <f>IFERROR(VLOOKUP($A7,[4]측정_24H데이타!$A:$AE,24,0),"")</f>
        <v>0</v>
      </c>
      <c r="BQ7">
        <f>IFERROR(VLOOKUP($A7,[4]측정_24H데이타!$A:$AE,25,0),"")</f>
        <v>0</v>
      </c>
      <c r="BR7">
        <f>IFERROR(VLOOKUP($A7,[4]측정_24H데이타!$A:$AE,26,0),"")</f>
        <v>0</v>
      </c>
      <c r="BS7">
        <f>IFERROR(VLOOKUP($A7,[4]측정_24H데이타!$A:$AE,27,0),"")</f>
        <v>0</v>
      </c>
      <c r="BT7">
        <f>IFERROR(VLOOKUP($A7,[4]측정_24H데이타!$A:$AE,28,0),"")</f>
        <v>0</v>
      </c>
      <c r="BU7">
        <f>IFERROR(VLOOKUP($A7,[4]측정_24H데이타!$A:$AE,29,0),"")</f>
        <v>0</v>
      </c>
      <c r="BV7">
        <f>IFERROR(VLOOKUP($A7,[4]측정_24H데이타!$A:$AE,30,0),"")</f>
        <v>0</v>
      </c>
      <c r="BW7">
        <f>IFERROR(VLOOKUP($A7,[4]측정_24H데이타!$A:$AE,31,0),"")</f>
        <v>0</v>
      </c>
    </row>
    <row r="8" spans="1:75">
      <c r="L8" t="str">
        <f>IFERROR(VLOOKUP($A8,'[3]사출실험_CYCLE TIME'!$A:$H,8,0),"")</f>
        <v/>
      </c>
      <c r="M8" t="str">
        <f>IFERROR(VLOOKUP($A8,[3]측정!$A:$BL,56,0),"")</f>
        <v/>
      </c>
      <c r="N8" t="str">
        <f>IFERROR(VLOOKUP($A8,[3]측정!$A:$BL,57,0),"")</f>
        <v/>
      </c>
      <c r="O8" t="str">
        <f>IFERROR(VLOOKUP($A8,[3]측정!$A:$BL,58,0),"")</f>
        <v/>
      </c>
      <c r="P8" t="str">
        <f>IFERROR(VLOOKUP($A8,[3]측정!$A:$BL,59,0),"")</f>
        <v/>
      </c>
      <c r="Q8" t="str">
        <f>IFERROR(VLOOKUP($A8,[3]측정!$A:$BL,60,0),"")</f>
        <v/>
      </c>
      <c r="R8" t="str">
        <f>IFERROR(VLOOKUP($A8,[3]측정!$A:$BL,61,0),"")</f>
        <v/>
      </c>
      <c r="S8" t="str">
        <f>IFERROR(VLOOKUP($A8,[3]측정!$A:$BL,62,0),"")</f>
        <v/>
      </c>
      <c r="T8" t="str">
        <f>IFERROR(VLOOKUP($A8,[3]측정!$A:$BL,63,0),"")</f>
        <v/>
      </c>
      <c r="U8" t="str">
        <f>IFERROR(VLOOKUP($A8,[3]측정!$A:$BL,64,0),"")</f>
        <v/>
      </c>
      <c r="V8" t="str">
        <f>IFERROR(VLOOKUP($A8,[3]측정!$A:$M,5,0),"")</f>
        <v/>
      </c>
      <c r="W8" t="str">
        <f>IFERROR(VLOOKUP($A8,[3]측정!$A:$M,6,0),"")</f>
        <v/>
      </c>
      <c r="X8" t="str">
        <f>IFERROR(VLOOKUP($A8,[3]측정!$A:$M,7,0),"")</f>
        <v/>
      </c>
      <c r="Y8" t="str">
        <f>IFERROR(VLOOKUP($A8,[3]측정!$A:$M,8,0),"")</f>
        <v/>
      </c>
      <c r="Z8" t="str">
        <f>IFERROR(VLOOKUP($A8,[3]측정!$A:$M,9,0),"")</f>
        <v/>
      </c>
      <c r="AA8" t="str">
        <f>IFERROR(VLOOKUP($A8,[3]측정!$A:$M,10,0),"")</f>
        <v/>
      </c>
      <c r="AB8" t="str">
        <f>IFERROR(VLOOKUP($A8,[3]측정!$A:$M,11,0),"")</f>
        <v/>
      </c>
      <c r="AC8" t="str">
        <f>IFERROR(VLOOKUP($A8,[3]측정!$A:$M,12,0),"")</f>
        <v/>
      </c>
      <c r="AD8" t="str">
        <f>IFERROR(VLOOKUP($A8,[3]측정!$A:$M,13,0),"")</f>
        <v/>
      </c>
      <c r="AE8" t="str">
        <f>IFERROR(VLOOKUP($A8,[4]측정_24H데이타!$A:$AE,5,0),"")</f>
        <v/>
      </c>
      <c r="AF8" t="str">
        <f>IFERROR(VLOOKUP($A8,[4]측정_24H데이타!$A:$AE,6,0),"")</f>
        <v/>
      </c>
      <c r="AG8" t="str">
        <f>IFERROR(VLOOKUP($A8,[4]측정_24H데이타!$A:$AE,7,0),"")</f>
        <v/>
      </c>
      <c r="AH8" t="str">
        <f>IFERROR(VLOOKUP($A8,[4]측정_24H데이타!$A:$AE,8,0),"")</f>
        <v/>
      </c>
      <c r="AI8" t="str">
        <f>IFERROR(VLOOKUP($A8,[4]측정_24H데이타!$A:$AE,9,0),"")</f>
        <v/>
      </c>
      <c r="AJ8" t="str">
        <f>IFERROR(VLOOKUP($A8,[4]측정_24H데이타!$A:$AE,10,0),"")</f>
        <v/>
      </c>
      <c r="AK8" t="str">
        <f>IFERROR(VLOOKUP($A8,[4]측정_24H데이타!$A:$AE,11,0),"")</f>
        <v/>
      </c>
      <c r="AL8" t="str">
        <f>IFERROR(VLOOKUP($A8,[4]측정_24H데이타!$A:$AE,12,0),"")</f>
        <v/>
      </c>
      <c r="AM8" t="str">
        <f>IFERROR(VLOOKUP($A8,[4]측정_24H데이타!$A:$AE,13,0),"")</f>
        <v/>
      </c>
      <c r="AN8" t="str">
        <f>IFERROR(VLOOKUP($A8,[3]측정!$A:$AD,22,0),"")</f>
        <v/>
      </c>
      <c r="AO8" t="str">
        <f>IFERROR(VLOOKUP($A8,[3]측정!$A:$AD,23,0),"")</f>
        <v/>
      </c>
      <c r="AP8" t="str">
        <f>IFERROR(VLOOKUP($A8,[3]측정!$A:$AD,24,0),"")</f>
        <v/>
      </c>
      <c r="AQ8" t="str">
        <f>IFERROR(VLOOKUP($A8,[3]측정!$A:$AD,25,0),"")</f>
        <v/>
      </c>
      <c r="AR8" t="str">
        <f>IFERROR(VLOOKUP($A8,[3]측정!$A:$AD,26,0),"")</f>
        <v/>
      </c>
      <c r="AS8" t="str">
        <f>IFERROR(VLOOKUP($A8,[3]측정!$A:$AD,27,0),"")</f>
        <v/>
      </c>
      <c r="AT8" t="str">
        <f>IFERROR(VLOOKUP($A8,[3]측정!$A:$AD,28,0),"")</f>
        <v/>
      </c>
      <c r="AU8" t="str">
        <f>IFERROR(VLOOKUP($A8,[3]측정!$A:$AD,29,0),"")</f>
        <v/>
      </c>
      <c r="AV8" t="str">
        <f>IFERROR(VLOOKUP($A8,[3]측정!$A:$AD,30,0),"")</f>
        <v/>
      </c>
      <c r="AW8" t="str">
        <f>IFERROR(VLOOKUP($A8,[4]측정_24H데이타!$A:$AE,14,0),"")</f>
        <v/>
      </c>
      <c r="AX8" t="str">
        <f>IFERROR(VLOOKUP($A8,[4]측정_24H데이타!$A:$AE,15,0),"")</f>
        <v/>
      </c>
      <c r="AY8" t="str">
        <f>IFERROR(VLOOKUP($A8,[4]측정_24H데이타!$A:$AE,16,0),"")</f>
        <v/>
      </c>
      <c r="AZ8" t="str">
        <f>IFERROR(VLOOKUP($A8,[4]측정_24H데이타!$A:$AE,17,0),"")</f>
        <v/>
      </c>
      <c r="BA8" t="str">
        <f>IFERROR(VLOOKUP($A8,[4]측정_24H데이타!$A:$AE,18,0),"")</f>
        <v/>
      </c>
      <c r="BB8" t="str">
        <f>IFERROR(VLOOKUP($A8,[4]측정_24H데이타!$A:$AE,19,0),"")</f>
        <v/>
      </c>
      <c r="BC8" t="str">
        <f>IFERROR(VLOOKUP($A8,[4]측정_24H데이타!$A:$AE,20,0),"")</f>
        <v/>
      </c>
      <c r="BD8" t="str">
        <f>IFERROR(VLOOKUP($A8,[4]측정_24H데이타!$A:$AE,21,0),"")</f>
        <v/>
      </c>
      <c r="BE8" t="str">
        <f>IFERROR(VLOOKUP($A8,[4]측정_24H데이타!$A:$AE,22,0),"")</f>
        <v/>
      </c>
      <c r="BF8" t="str">
        <f>IFERROR(VLOOKUP($A8,[3]측정!$A:$AU,39,0),"")</f>
        <v/>
      </c>
      <c r="BG8" t="str">
        <f>IFERROR(VLOOKUP($A8,[3]측정!$A:$AU,40,0),"")</f>
        <v/>
      </c>
      <c r="BH8" t="str">
        <f>IFERROR(VLOOKUP($A8,[3]측정!$A:$AU,41,0),"")</f>
        <v/>
      </c>
      <c r="BI8" t="str">
        <f>IFERROR(VLOOKUP($A8,[3]측정!$A:$AU,42,0),"")</f>
        <v/>
      </c>
      <c r="BJ8" t="str">
        <f>IFERROR(VLOOKUP($A8,[3]측정!$A:$AU,43,0),"")</f>
        <v/>
      </c>
      <c r="BK8" t="str">
        <f>IFERROR(VLOOKUP($A8,[3]측정!$A:$AU,44,0),"")</f>
        <v/>
      </c>
      <c r="BL8" t="str">
        <f>IFERROR(VLOOKUP($A8,[3]측정!$A:$AU,45,0),"")</f>
        <v/>
      </c>
      <c r="BM8" t="str">
        <f>IFERROR(VLOOKUP($A8,[3]측정!$A:$AU,46,0),"")</f>
        <v/>
      </c>
      <c r="BN8" t="str">
        <f>IFERROR(VLOOKUP($A8,[3]측정!$A:$AU,47,0),"")</f>
        <v/>
      </c>
      <c r="BO8" t="str">
        <f>IFERROR(VLOOKUP($A8,[4]측정_24H데이타!$A:$AE,23,0),"")</f>
        <v/>
      </c>
      <c r="BP8" t="str">
        <f>IFERROR(VLOOKUP($A8,[4]측정_24H데이타!$A:$AE,24,0),"")</f>
        <v/>
      </c>
      <c r="BQ8" t="str">
        <f>IFERROR(VLOOKUP($A8,[4]측정_24H데이타!$A:$AE,25,0),"")</f>
        <v/>
      </c>
      <c r="BR8" t="str">
        <f>IFERROR(VLOOKUP($A8,[4]측정_24H데이타!$A:$AE,26,0),"")</f>
        <v/>
      </c>
      <c r="BS8" t="str">
        <f>IFERROR(VLOOKUP($A8,[4]측정_24H데이타!$A:$AE,27,0),"")</f>
        <v/>
      </c>
      <c r="BT8" t="str">
        <f>IFERROR(VLOOKUP($A8,[4]측정_24H데이타!$A:$AE,28,0),"")</f>
        <v/>
      </c>
      <c r="BU8" t="str">
        <f>IFERROR(VLOOKUP($A8,[4]측정_24H데이타!$A:$AE,29,0),"")</f>
        <v/>
      </c>
      <c r="BV8" t="str">
        <f>IFERROR(VLOOKUP($A8,[4]측정_24H데이타!$A:$AE,30,0),"")</f>
        <v/>
      </c>
      <c r="BW8" t="str">
        <f>IFERROR(VLOOKUP($A8,[4]측정_24H데이타!$A:$AE,31,0),"")</f>
        <v/>
      </c>
    </row>
    <row r="9" spans="1:75">
      <c r="L9" t="str">
        <f>IFERROR(VLOOKUP($A9,'[3]사출실험_CYCLE TIME'!$A:$H,8,0),"")</f>
        <v/>
      </c>
      <c r="M9" t="str">
        <f>IFERROR(VLOOKUP($A9,[3]측정!$A:$BL,56,0),"")</f>
        <v/>
      </c>
      <c r="N9" t="str">
        <f>IFERROR(VLOOKUP($A9,[3]측정!$A:$BL,57,0),"")</f>
        <v/>
      </c>
      <c r="O9" t="str">
        <f>IFERROR(VLOOKUP($A9,[3]측정!$A:$BL,58,0),"")</f>
        <v/>
      </c>
      <c r="P9" t="str">
        <f>IFERROR(VLOOKUP($A9,[3]측정!$A:$BL,59,0),"")</f>
        <v/>
      </c>
      <c r="Q9" t="str">
        <f>IFERROR(VLOOKUP($A9,[3]측정!$A:$BL,60,0),"")</f>
        <v/>
      </c>
      <c r="R9" t="str">
        <f>IFERROR(VLOOKUP($A9,[3]측정!$A:$BL,61,0),"")</f>
        <v/>
      </c>
      <c r="S9" t="str">
        <f>IFERROR(VLOOKUP($A9,[3]측정!$A:$BL,62,0),"")</f>
        <v/>
      </c>
      <c r="T9" t="str">
        <f>IFERROR(VLOOKUP($A9,[3]측정!$A:$BL,63,0),"")</f>
        <v/>
      </c>
      <c r="U9" t="str">
        <f>IFERROR(VLOOKUP($A9,[3]측정!$A:$BL,64,0),"")</f>
        <v/>
      </c>
      <c r="V9" t="str">
        <f>IFERROR(VLOOKUP($A9,[3]측정!$A:$M,5,0),"")</f>
        <v/>
      </c>
      <c r="W9" t="str">
        <f>IFERROR(VLOOKUP($A9,[3]측정!$A:$M,6,0),"")</f>
        <v/>
      </c>
      <c r="X9" t="str">
        <f>IFERROR(VLOOKUP($A9,[3]측정!$A:$M,7,0),"")</f>
        <v/>
      </c>
      <c r="Y9" t="str">
        <f>IFERROR(VLOOKUP($A9,[3]측정!$A:$M,8,0),"")</f>
        <v/>
      </c>
      <c r="Z9" t="str">
        <f>IFERROR(VLOOKUP($A9,[3]측정!$A:$M,9,0),"")</f>
        <v/>
      </c>
      <c r="AA9" t="str">
        <f>IFERROR(VLOOKUP($A9,[3]측정!$A:$M,10,0),"")</f>
        <v/>
      </c>
      <c r="AB9" t="str">
        <f>IFERROR(VLOOKUP($A9,[3]측정!$A:$M,11,0),"")</f>
        <v/>
      </c>
      <c r="AC9" t="str">
        <f>IFERROR(VLOOKUP($A9,[3]측정!$A:$M,12,0),"")</f>
        <v/>
      </c>
      <c r="AD9" t="str">
        <f>IFERROR(VLOOKUP($A9,[3]측정!$A:$M,13,0),"")</f>
        <v/>
      </c>
      <c r="AE9" t="str">
        <f>IFERROR(VLOOKUP($A9,[4]측정_24H데이타!$A:$AE,5,0),"")</f>
        <v/>
      </c>
      <c r="AF9" t="str">
        <f>IFERROR(VLOOKUP($A9,[4]측정_24H데이타!$A:$AE,6,0),"")</f>
        <v/>
      </c>
      <c r="AG9" t="str">
        <f>IFERROR(VLOOKUP($A9,[4]측정_24H데이타!$A:$AE,7,0),"")</f>
        <v/>
      </c>
      <c r="AH9" t="str">
        <f>IFERROR(VLOOKUP($A9,[4]측정_24H데이타!$A:$AE,8,0),"")</f>
        <v/>
      </c>
      <c r="AI9" t="str">
        <f>IFERROR(VLOOKUP($A9,[4]측정_24H데이타!$A:$AE,9,0),"")</f>
        <v/>
      </c>
      <c r="AJ9" t="str">
        <f>IFERROR(VLOOKUP($A9,[4]측정_24H데이타!$A:$AE,10,0),"")</f>
        <v/>
      </c>
      <c r="AK9" t="str">
        <f>IFERROR(VLOOKUP($A9,[4]측정_24H데이타!$A:$AE,11,0),"")</f>
        <v/>
      </c>
      <c r="AL9" t="str">
        <f>IFERROR(VLOOKUP($A9,[4]측정_24H데이타!$A:$AE,12,0),"")</f>
        <v/>
      </c>
      <c r="AM9" t="str">
        <f>IFERROR(VLOOKUP($A9,[4]측정_24H데이타!$A:$AE,13,0),"")</f>
        <v/>
      </c>
      <c r="AN9" t="str">
        <f>IFERROR(VLOOKUP($A9,[3]측정!$A:$AD,22,0),"")</f>
        <v/>
      </c>
      <c r="AO9" t="str">
        <f>IFERROR(VLOOKUP($A9,[3]측정!$A:$AD,23,0),"")</f>
        <v/>
      </c>
      <c r="AP9" t="str">
        <f>IFERROR(VLOOKUP($A9,[3]측정!$A:$AD,24,0),"")</f>
        <v/>
      </c>
      <c r="AQ9" t="str">
        <f>IFERROR(VLOOKUP($A9,[3]측정!$A:$AD,25,0),"")</f>
        <v/>
      </c>
      <c r="AR9" t="str">
        <f>IFERROR(VLOOKUP($A9,[3]측정!$A:$AD,26,0),"")</f>
        <v/>
      </c>
      <c r="AS9" t="str">
        <f>IFERROR(VLOOKUP($A9,[3]측정!$A:$AD,27,0),"")</f>
        <v/>
      </c>
      <c r="AT9" t="str">
        <f>IFERROR(VLOOKUP($A9,[3]측정!$A:$AD,28,0),"")</f>
        <v/>
      </c>
      <c r="AU9" t="str">
        <f>IFERROR(VLOOKUP($A9,[3]측정!$A:$AD,29,0),"")</f>
        <v/>
      </c>
      <c r="AV9" t="str">
        <f>IFERROR(VLOOKUP($A9,[3]측정!$A:$AD,30,0),"")</f>
        <v/>
      </c>
      <c r="AW9" t="str">
        <f>IFERROR(VLOOKUP($A9,[4]측정_24H데이타!$A:$AE,14,0),"")</f>
        <v/>
      </c>
      <c r="AX9" t="str">
        <f>IFERROR(VLOOKUP($A9,[4]측정_24H데이타!$A:$AE,15,0),"")</f>
        <v/>
      </c>
      <c r="AY9" t="str">
        <f>IFERROR(VLOOKUP($A9,[4]측정_24H데이타!$A:$AE,16,0),"")</f>
        <v/>
      </c>
      <c r="AZ9" t="str">
        <f>IFERROR(VLOOKUP($A9,[4]측정_24H데이타!$A:$AE,17,0),"")</f>
        <v/>
      </c>
      <c r="BA9" t="str">
        <f>IFERROR(VLOOKUP($A9,[4]측정_24H데이타!$A:$AE,18,0),"")</f>
        <v/>
      </c>
      <c r="BB9" t="str">
        <f>IFERROR(VLOOKUP($A9,[4]측정_24H데이타!$A:$AE,19,0),"")</f>
        <v/>
      </c>
      <c r="BC9" t="str">
        <f>IFERROR(VLOOKUP($A9,[4]측정_24H데이타!$A:$AE,20,0),"")</f>
        <v/>
      </c>
      <c r="BD9" t="str">
        <f>IFERROR(VLOOKUP($A9,[4]측정_24H데이타!$A:$AE,21,0),"")</f>
        <v/>
      </c>
      <c r="BE9" t="str">
        <f>IFERROR(VLOOKUP($A9,[4]측정_24H데이타!$A:$AE,22,0),"")</f>
        <v/>
      </c>
      <c r="BF9" t="str">
        <f>IFERROR(VLOOKUP($A9,[3]측정!$A:$AU,39,0),"")</f>
        <v/>
      </c>
      <c r="BG9" t="str">
        <f>IFERROR(VLOOKUP($A9,[3]측정!$A:$AU,40,0),"")</f>
        <v/>
      </c>
      <c r="BH9" t="str">
        <f>IFERROR(VLOOKUP($A9,[3]측정!$A:$AU,41,0),"")</f>
        <v/>
      </c>
      <c r="BI9" t="str">
        <f>IFERROR(VLOOKUP($A9,[3]측정!$A:$AU,42,0),"")</f>
        <v/>
      </c>
      <c r="BJ9" t="str">
        <f>IFERROR(VLOOKUP($A9,[3]측정!$A:$AU,43,0),"")</f>
        <v/>
      </c>
      <c r="BK9" t="str">
        <f>IFERROR(VLOOKUP($A9,[3]측정!$A:$AU,44,0),"")</f>
        <v/>
      </c>
      <c r="BL9" t="str">
        <f>IFERROR(VLOOKUP($A9,[3]측정!$A:$AU,45,0),"")</f>
        <v/>
      </c>
      <c r="BM9" t="str">
        <f>IFERROR(VLOOKUP($A9,[3]측정!$A:$AU,46,0),"")</f>
        <v/>
      </c>
      <c r="BN9" t="str">
        <f>IFERROR(VLOOKUP($A9,[3]측정!$A:$AU,47,0),"")</f>
        <v/>
      </c>
      <c r="BO9" t="str">
        <f>IFERROR(VLOOKUP($A9,[4]측정_24H데이타!$A:$AE,23,0),"")</f>
        <v/>
      </c>
      <c r="BP9" t="str">
        <f>IFERROR(VLOOKUP($A9,[4]측정_24H데이타!$A:$AE,24,0),"")</f>
        <v/>
      </c>
      <c r="BQ9" t="str">
        <f>IFERROR(VLOOKUP($A9,[4]측정_24H데이타!$A:$AE,25,0),"")</f>
        <v/>
      </c>
      <c r="BR9" t="str">
        <f>IFERROR(VLOOKUP($A9,[4]측정_24H데이타!$A:$AE,26,0),"")</f>
        <v/>
      </c>
      <c r="BS9" t="str">
        <f>IFERROR(VLOOKUP($A9,[4]측정_24H데이타!$A:$AE,27,0),"")</f>
        <v/>
      </c>
      <c r="BT9" t="str">
        <f>IFERROR(VLOOKUP($A9,[4]측정_24H데이타!$A:$AE,28,0),"")</f>
        <v/>
      </c>
      <c r="BU9" t="str">
        <f>IFERROR(VLOOKUP($A9,[4]측정_24H데이타!$A:$AE,29,0),"")</f>
        <v/>
      </c>
      <c r="BV9" t="str">
        <f>IFERROR(VLOOKUP($A9,[4]측정_24H데이타!$A:$AE,30,0),"")</f>
        <v/>
      </c>
      <c r="BW9" t="str">
        <f>IFERROR(VLOOKUP($A9,[4]측정_24H데이타!$A:$AE,31,0),"")</f>
        <v/>
      </c>
    </row>
    <row r="10" spans="1:75">
      <c r="L10" t="str">
        <f>IFERROR(VLOOKUP($A10,'[3]사출실험_CYCLE TIME'!$A:$H,8,0),"")</f>
        <v/>
      </c>
      <c r="M10" t="str">
        <f>IFERROR(VLOOKUP($A10,[3]측정!$A:$BL,56,0),"")</f>
        <v/>
      </c>
      <c r="N10" t="str">
        <f>IFERROR(VLOOKUP($A10,[3]측정!$A:$BL,57,0),"")</f>
        <v/>
      </c>
      <c r="O10" t="str">
        <f>IFERROR(VLOOKUP($A10,[3]측정!$A:$BL,58,0),"")</f>
        <v/>
      </c>
      <c r="P10" t="str">
        <f>IFERROR(VLOOKUP($A10,[3]측정!$A:$BL,59,0),"")</f>
        <v/>
      </c>
      <c r="Q10" t="str">
        <f>IFERROR(VLOOKUP($A10,[3]측정!$A:$BL,60,0),"")</f>
        <v/>
      </c>
      <c r="R10" t="str">
        <f>IFERROR(VLOOKUP($A10,[3]측정!$A:$BL,61,0),"")</f>
        <v/>
      </c>
      <c r="S10" t="str">
        <f>IFERROR(VLOOKUP($A10,[3]측정!$A:$BL,62,0),"")</f>
        <v/>
      </c>
      <c r="T10" t="str">
        <f>IFERROR(VLOOKUP($A10,[3]측정!$A:$BL,63,0),"")</f>
        <v/>
      </c>
      <c r="U10" t="str">
        <f>IFERROR(VLOOKUP($A10,[3]측정!$A:$BL,64,0),"")</f>
        <v/>
      </c>
      <c r="V10" t="str">
        <f>IFERROR(VLOOKUP($A10,[3]측정!$A:$M,5,0),"")</f>
        <v/>
      </c>
      <c r="W10" t="str">
        <f>IFERROR(VLOOKUP($A10,[3]측정!$A:$M,6,0),"")</f>
        <v/>
      </c>
      <c r="X10" t="str">
        <f>IFERROR(VLOOKUP($A10,[3]측정!$A:$M,7,0),"")</f>
        <v/>
      </c>
      <c r="Y10" t="str">
        <f>IFERROR(VLOOKUP($A10,[3]측정!$A:$M,8,0),"")</f>
        <v/>
      </c>
      <c r="Z10" t="str">
        <f>IFERROR(VLOOKUP($A10,[3]측정!$A:$M,9,0),"")</f>
        <v/>
      </c>
      <c r="AA10" t="str">
        <f>IFERROR(VLOOKUP($A10,[3]측정!$A:$M,10,0),"")</f>
        <v/>
      </c>
      <c r="AB10" t="str">
        <f>IFERROR(VLOOKUP($A10,[3]측정!$A:$M,11,0),"")</f>
        <v/>
      </c>
      <c r="AC10" t="str">
        <f>IFERROR(VLOOKUP($A10,[3]측정!$A:$M,12,0),"")</f>
        <v/>
      </c>
      <c r="AD10" t="str">
        <f>IFERROR(VLOOKUP($A10,[3]측정!$A:$M,13,0),"")</f>
        <v/>
      </c>
      <c r="AE10" t="str">
        <f>IFERROR(VLOOKUP($A10,[4]측정_24H데이타!$A:$AE,5,0),"")</f>
        <v/>
      </c>
      <c r="AF10" t="str">
        <f>IFERROR(VLOOKUP($A10,[4]측정_24H데이타!$A:$AE,6,0),"")</f>
        <v/>
      </c>
      <c r="AG10" t="str">
        <f>IFERROR(VLOOKUP($A10,[4]측정_24H데이타!$A:$AE,7,0),"")</f>
        <v/>
      </c>
      <c r="AH10" t="str">
        <f>IFERROR(VLOOKUP($A10,[4]측정_24H데이타!$A:$AE,8,0),"")</f>
        <v/>
      </c>
      <c r="AI10" t="str">
        <f>IFERROR(VLOOKUP($A10,[4]측정_24H데이타!$A:$AE,9,0),"")</f>
        <v/>
      </c>
      <c r="AJ10" t="str">
        <f>IFERROR(VLOOKUP($A10,[4]측정_24H데이타!$A:$AE,10,0),"")</f>
        <v/>
      </c>
      <c r="AK10" t="str">
        <f>IFERROR(VLOOKUP($A10,[4]측정_24H데이타!$A:$AE,11,0),"")</f>
        <v/>
      </c>
      <c r="AL10" t="str">
        <f>IFERROR(VLOOKUP($A10,[4]측정_24H데이타!$A:$AE,12,0),"")</f>
        <v/>
      </c>
      <c r="AM10" t="str">
        <f>IFERROR(VLOOKUP($A10,[4]측정_24H데이타!$A:$AE,13,0),"")</f>
        <v/>
      </c>
      <c r="AN10" t="str">
        <f>IFERROR(VLOOKUP($A10,[3]측정!$A:$AD,22,0),"")</f>
        <v/>
      </c>
      <c r="AO10" t="str">
        <f>IFERROR(VLOOKUP($A10,[3]측정!$A:$AD,23,0),"")</f>
        <v/>
      </c>
      <c r="AP10" t="str">
        <f>IFERROR(VLOOKUP($A10,[3]측정!$A:$AD,24,0),"")</f>
        <v/>
      </c>
      <c r="AQ10" t="str">
        <f>IFERROR(VLOOKUP($A10,[3]측정!$A:$AD,25,0),"")</f>
        <v/>
      </c>
      <c r="AR10" t="str">
        <f>IFERROR(VLOOKUP($A10,[3]측정!$A:$AD,26,0),"")</f>
        <v/>
      </c>
      <c r="AS10" t="str">
        <f>IFERROR(VLOOKUP($A10,[3]측정!$A:$AD,27,0),"")</f>
        <v/>
      </c>
      <c r="AT10" t="str">
        <f>IFERROR(VLOOKUP($A10,[3]측정!$A:$AD,28,0),"")</f>
        <v/>
      </c>
      <c r="AU10" t="str">
        <f>IFERROR(VLOOKUP($A10,[3]측정!$A:$AD,29,0),"")</f>
        <v/>
      </c>
      <c r="AV10" t="str">
        <f>IFERROR(VLOOKUP($A10,[3]측정!$A:$AD,30,0),"")</f>
        <v/>
      </c>
      <c r="AW10" t="str">
        <f>IFERROR(VLOOKUP($A10,[4]측정_24H데이타!$A:$AE,14,0),"")</f>
        <v/>
      </c>
      <c r="AX10" t="str">
        <f>IFERROR(VLOOKUP($A10,[4]측정_24H데이타!$A:$AE,15,0),"")</f>
        <v/>
      </c>
      <c r="AY10" t="str">
        <f>IFERROR(VLOOKUP($A10,[4]측정_24H데이타!$A:$AE,16,0),"")</f>
        <v/>
      </c>
      <c r="AZ10" t="str">
        <f>IFERROR(VLOOKUP($A10,[4]측정_24H데이타!$A:$AE,17,0),"")</f>
        <v/>
      </c>
      <c r="BA10" t="str">
        <f>IFERROR(VLOOKUP($A10,[4]측정_24H데이타!$A:$AE,18,0),"")</f>
        <v/>
      </c>
      <c r="BB10" t="str">
        <f>IFERROR(VLOOKUP($A10,[4]측정_24H데이타!$A:$AE,19,0),"")</f>
        <v/>
      </c>
      <c r="BC10" t="str">
        <f>IFERROR(VLOOKUP($A10,[4]측정_24H데이타!$A:$AE,20,0),"")</f>
        <v/>
      </c>
      <c r="BD10" t="str">
        <f>IFERROR(VLOOKUP($A10,[4]측정_24H데이타!$A:$AE,21,0),"")</f>
        <v/>
      </c>
      <c r="BE10" t="str">
        <f>IFERROR(VLOOKUP($A10,[4]측정_24H데이타!$A:$AE,22,0),"")</f>
        <v/>
      </c>
      <c r="BF10" t="str">
        <f>IFERROR(VLOOKUP($A10,[3]측정!$A:$AU,39,0),"")</f>
        <v/>
      </c>
      <c r="BG10" t="str">
        <f>IFERROR(VLOOKUP($A10,[3]측정!$A:$AU,40,0),"")</f>
        <v/>
      </c>
      <c r="BH10" t="str">
        <f>IFERROR(VLOOKUP($A10,[3]측정!$A:$AU,41,0),"")</f>
        <v/>
      </c>
      <c r="BI10" t="str">
        <f>IFERROR(VLOOKUP($A10,[3]측정!$A:$AU,42,0),"")</f>
        <v/>
      </c>
      <c r="BJ10" t="str">
        <f>IFERROR(VLOOKUP($A10,[3]측정!$A:$AU,43,0),"")</f>
        <v/>
      </c>
      <c r="BK10" t="str">
        <f>IFERROR(VLOOKUP($A10,[3]측정!$A:$AU,44,0),"")</f>
        <v/>
      </c>
      <c r="BL10" t="str">
        <f>IFERROR(VLOOKUP($A10,[3]측정!$A:$AU,45,0),"")</f>
        <v/>
      </c>
      <c r="BM10" t="str">
        <f>IFERROR(VLOOKUP($A10,[3]측정!$A:$AU,46,0),"")</f>
        <v/>
      </c>
      <c r="BN10" t="str">
        <f>IFERROR(VLOOKUP($A10,[3]측정!$A:$AU,47,0),"")</f>
        <v/>
      </c>
      <c r="BO10" t="str">
        <f>IFERROR(VLOOKUP($A10,[4]측정_24H데이타!$A:$AE,23,0),"")</f>
        <v/>
      </c>
      <c r="BP10" t="str">
        <f>IFERROR(VLOOKUP($A10,[4]측정_24H데이타!$A:$AE,24,0),"")</f>
        <v/>
      </c>
      <c r="BQ10" t="str">
        <f>IFERROR(VLOOKUP($A10,[4]측정_24H데이타!$A:$AE,25,0),"")</f>
        <v/>
      </c>
      <c r="BR10" t="str">
        <f>IFERROR(VLOOKUP($A10,[4]측정_24H데이타!$A:$AE,26,0),"")</f>
        <v/>
      </c>
      <c r="BS10" t="str">
        <f>IFERROR(VLOOKUP($A10,[4]측정_24H데이타!$A:$AE,27,0),"")</f>
        <v/>
      </c>
      <c r="BT10" t="str">
        <f>IFERROR(VLOOKUP($A10,[4]측정_24H데이타!$A:$AE,28,0),"")</f>
        <v/>
      </c>
      <c r="BU10" t="str">
        <f>IFERROR(VLOOKUP($A10,[4]측정_24H데이타!$A:$AE,29,0),"")</f>
        <v/>
      </c>
      <c r="BV10" t="str">
        <f>IFERROR(VLOOKUP($A10,[4]측정_24H데이타!$A:$AE,30,0),"")</f>
        <v/>
      </c>
      <c r="BW10" t="str">
        <f>IFERROR(VLOOKUP($A10,[4]측정_24H데이타!$A:$AE,31,0),"")</f>
        <v/>
      </c>
    </row>
    <row r="11" spans="1:75">
      <c r="L11" t="str">
        <f>IFERROR(VLOOKUP($A11,'[3]사출실험_CYCLE TIME'!$A:$H,8,0),"")</f>
        <v/>
      </c>
      <c r="M11" t="str">
        <f>IFERROR(VLOOKUP($A11,[3]측정!$A:$BL,56,0),"")</f>
        <v/>
      </c>
      <c r="N11" t="str">
        <f>IFERROR(VLOOKUP($A11,[3]측정!$A:$BL,57,0),"")</f>
        <v/>
      </c>
      <c r="O11" t="str">
        <f>IFERROR(VLOOKUP($A11,[3]측정!$A:$BL,58,0),"")</f>
        <v/>
      </c>
      <c r="P11" t="str">
        <f>IFERROR(VLOOKUP($A11,[3]측정!$A:$BL,59,0),"")</f>
        <v/>
      </c>
      <c r="Q11" t="str">
        <f>IFERROR(VLOOKUP($A11,[3]측정!$A:$BL,60,0),"")</f>
        <v/>
      </c>
      <c r="R11" t="str">
        <f>IFERROR(VLOOKUP($A11,[3]측정!$A:$BL,61,0),"")</f>
        <v/>
      </c>
      <c r="S11" t="str">
        <f>IFERROR(VLOOKUP($A11,[3]측정!$A:$BL,62,0),"")</f>
        <v/>
      </c>
      <c r="T11" t="str">
        <f>IFERROR(VLOOKUP($A11,[3]측정!$A:$BL,63,0),"")</f>
        <v/>
      </c>
      <c r="U11" t="str">
        <f>IFERROR(VLOOKUP($A11,[3]측정!$A:$BL,64,0),"")</f>
        <v/>
      </c>
      <c r="V11" t="str">
        <f>IFERROR(VLOOKUP($A11,[3]측정!$A:$M,5,0),"")</f>
        <v/>
      </c>
      <c r="W11" t="str">
        <f>IFERROR(VLOOKUP($A11,[3]측정!$A:$M,6,0),"")</f>
        <v/>
      </c>
      <c r="X11" t="str">
        <f>IFERROR(VLOOKUP($A11,[3]측정!$A:$M,7,0),"")</f>
        <v/>
      </c>
      <c r="Y11" t="str">
        <f>IFERROR(VLOOKUP($A11,[3]측정!$A:$M,8,0),"")</f>
        <v/>
      </c>
      <c r="Z11" t="str">
        <f>IFERROR(VLOOKUP($A11,[3]측정!$A:$M,9,0),"")</f>
        <v/>
      </c>
      <c r="AA11" t="str">
        <f>IFERROR(VLOOKUP($A11,[3]측정!$A:$M,10,0),"")</f>
        <v/>
      </c>
      <c r="AB11" t="str">
        <f>IFERROR(VLOOKUP($A11,[3]측정!$A:$M,11,0),"")</f>
        <v/>
      </c>
      <c r="AC11" t="str">
        <f>IFERROR(VLOOKUP($A11,[3]측정!$A:$M,12,0),"")</f>
        <v/>
      </c>
      <c r="AD11" t="str">
        <f>IFERROR(VLOOKUP($A11,[3]측정!$A:$M,13,0),"")</f>
        <v/>
      </c>
      <c r="AE11" t="str">
        <f>IFERROR(VLOOKUP($A11,[4]측정_24H데이타!$A:$AE,5,0),"")</f>
        <v/>
      </c>
      <c r="AF11" t="str">
        <f>IFERROR(VLOOKUP($A11,[4]측정_24H데이타!$A:$AE,6,0),"")</f>
        <v/>
      </c>
      <c r="AG11" t="str">
        <f>IFERROR(VLOOKUP($A11,[4]측정_24H데이타!$A:$AE,7,0),"")</f>
        <v/>
      </c>
      <c r="AH11" t="str">
        <f>IFERROR(VLOOKUP($A11,[4]측정_24H데이타!$A:$AE,8,0),"")</f>
        <v/>
      </c>
      <c r="AI11" t="str">
        <f>IFERROR(VLOOKUP($A11,[4]측정_24H데이타!$A:$AE,9,0),"")</f>
        <v/>
      </c>
      <c r="AJ11" t="str">
        <f>IFERROR(VLOOKUP($A11,[4]측정_24H데이타!$A:$AE,10,0),"")</f>
        <v/>
      </c>
      <c r="AK11" t="str">
        <f>IFERROR(VLOOKUP($A11,[4]측정_24H데이타!$A:$AE,11,0),"")</f>
        <v/>
      </c>
      <c r="AL11" t="str">
        <f>IFERROR(VLOOKUP($A11,[4]측정_24H데이타!$A:$AE,12,0),"")</f>
        <v/>
      </c>
      <c r="AM11" t="str">
        <f>IFERROR(VLOOKUP($A11,[4]측정_24H데이타!$A:$AE,13,0),"")</f>
        <v/>
      </c>
      <c r="AN11" t="str">
        <f>IFERROR(VLOOKUP($A11,[3]측정!$A:$AD,22,0),"")</f>
        <v/>
      </c>
      <c r="AO11" t="str">
        <f>IFERROR(VLOOKUP($A11,[3]측정!$A:$AD,23,0),"")</f>
        <v/>
      </c>
      <c r="AP11" t="str">
        <f>IFERROR(VLOOKUP($A11,[3]측정!$A:$AD,24,0),"")</f>
        <v/>
      </c>
      <c r="AQ11" t="str">
        <f>IFERROR(VLOOKUP($A11,[3]측정!$A:$AD,25,0),"")</f>
        <v/>
      </c>
      <c r="AR11" t="str">
        <f>IFERROR(VLOOKUP($A11,[3]측정!$A:$AD,26,0),"")</f>
        <v/>
      </c>
      <c r="AS11" t="str">
        <f>IFERROR(VLOOKUP($A11,[3]측정!$A:$AD,27,0),"")</f>
        <v/>
      </c>
      <c r="AT11" t="str">
        <f>IFERROR(VLOOKUP($A11,[3]측정!$A:$AD,28,0),"")</f>
        <v/>
      </c>
      <c r="AU11" t="str">
        <f>IFERROR(VLOOKUP($A11,[3]측정!$A:$AD,29,0),"")</f>
        <v/>
      </c>
      <c r="AV11" t="str">
        <f>IFERROR(VLOOKUP($A11,[3]측정!$A:$AD,30,0),"")</f>
        <v/>
      </c>
      <c r="AW11" t="str">
        <f>IFERROR(VLOOKUP($A11,[4]측정_24H데이타!$A:$AE,14,0),"")</f>
        <v/>
      </c>
      <c r="AX11" t="str">
        <f>IFERROR(VLOOKUP($A11,[4]측정_24H데이타!$A:$AE,15,0),"")</f>
        <v/>
      </c>
      <c r="AY11" t="str">
        <f>IFERROR(VLOOKUP($A11,[4]측정_24H데이타!$A:$AE,16,0),"")</f>
        <v/>
      </c>
      <c r="AZ11" t="str">
        <f>IFERROR(VLOOKUP($A11,[4]측정_24H데이타!$A:$AE,17,0),"")</f>
        <v/>
      </c>
      <c r="BA11" t="str">
        <f>IFERROR(VLOOKUP($A11,[4]측정_24H데이타!$A:$AE,18,0),"")</f>
        <v/>
      </c>
      <c r="BB11" t="str">
        <f>IFERROR(VLOOKUP($A11,[4]측정_24H데이타!$A:$AE,19,0),"")</f>
        <v/>
      </c>
      <c r="BC11" t="str">
        <f>IFERROR(VLOOKUP($A11,[4]측정_24H데이타!$A:$AE,20,0),"")</f>
        <v/>
      </c>
      <c r="BD11" t="str">
        <f>IFERROR(VLOOKUP($A11,[4]측정_24H데이타!$A:$AE,21,0),"")</f>
        <v/>
      </c>
      <c r="BE11" t="str">
        <f>IFERROR(VLOOKUP($A11,[4]측정_24H데이타!$A:$AE,22,0),"")</f>
        <v/>
      </c>
      <c r="BF11" t="str">
        <f>IFERROR(VLOOKUP($A11,[3]측정!$A:$AU,39,0),"")</f>
        <v/>
      </c>
      <c r="BG11" t="str">
        <f>IFERROR(VLOOKUP($A11,[3]측정!$A:$AU,40,0),"")</f>
        <v/>
      </c>
      <c r="BH11" t="str">
        <f>IFERROR(VLOOKUP($A11,[3]측정!$A:$AU,41,0),"")</f>
        <v/>
      </c>
      <c r="BI11" t="str">
        <f>IFERROR(VLOOKUP($A11,[3]측정!$A:$AU,42,0),"")</f>
        <v/>
      </c>
      <c r="BJ11" t="str">
        <f>IFERROR(VLOOKUP($A11,[3]측정!$A:$AU,43,0),"")</f>
        <v/>
      </c>
      <c r="BK11" t="str">
        <f>IFERROR(VLOOKUP($A11,[3]측정!$A:$AU,44,0),"")</f>
        <v/>
      </c>
      <c r="BL11" t="str">
        <f>IFERROR(VLOOKUP($A11,[3]측정!$A:$AU,45,0),"")</f>
        <v/>
      </c>
      <c r="BM11" t="str">
        <f>IFERROR(VLOOKUP($A11,[3]측정!$A:$AU,46,0),"")</f>
        <v/>
      </c>
      <c r="BN11" t="str">
        <f>IFERROR(VLOOKUP($A11,[3]측정!$A:$AU,47,0),"")</f>
        <v/>
      </c>
      <c r="BO11" t="str">
        <f>IFERROR(VLOOKUP($A11,[4]측정_24H데이타!$A:$AE,23,0),"")</f>
        <v/>
      </c>
      <c r="BP11" t="str">
        <f>IFERROR(VLOOKUP($A11,[4]측정_24H데이타!$A:$AE,24,0),"")</f>
        <v/>
      </c>
      <c r="BQ11" t="str">
        <f>IFERROR(VLOOKUP($A11,[4]측정_24H데이타!$A:$AE,25,0),"")</f>
        <v/>
      </c>
      <c r="BR11" t="str">
        <f>IFERROR(VLOOKUP($A11,[4]측정_24H데이타!$A:$AE,26,0),"")</f>
        <v/>
      </c>
      <c r="BS11" t="str">
        <f>IFERROR(VLOOKUP($A11,[4]측정_24H데이타!$A:$AE,27,0),"")</f>
        <v/>
      </c>
      <c r="BT11" t="str">
        <f>IFERROR(VLOOKUP($A11,[4]측정_24H데이타!$A:$AE,28,0),"")</f>
        <v/>
      </c>
      <c r="BU11" t="str">
        <f>IFERROR(VLOOKUP($A11,[4]측정_24H데이타!$A:$AE,29,0),"")</f>
        <v/>
      </c>
      <c r="BV11" t="str">
        <f>IFERROR(VLOOKUP($A11,[4]측정_24H데이타!$A:$AE,30,0),"")</f>
        <v/>
      </c>
      <c r="BW11" t="str">
        <f>IFERROR(VLOOKUP($A11,[4]측정_24H데이타!$A:$AE,31,0),"")</f>
        <v/>
      </c>
    </row>
    <row r="12" spans="1:75">
      <c r="L12" t="str">
        <f>IFERROR(VLOOKUP($A12,'[3]사출실험_CYCLE TIME'!$A:$H,8,0),"")</f>
        <v/>
      </c>
      <c r="M12" t="str">
        <f>IFERROR(VLOOKUP($A12,[3]측정!$A:$BL,56,0),"")</f>
        <v/>
      </c>
      <c r="N12" t="str">
        <f>IFERROR(VLOOKUP($A12,[3]측정!$A:$BL,57,0),"")</f>
        <v/>
      </c>
      <c r="O12" t="str">
        <f>IFERROR(VLOOKUP($A12,[3]측정!$A:$BL,58,0),"")</f>
        <v/>
      </c>
      <c r="P12" t="str">
        <f>IFERROR(VLOOKUP($A12,[3]측정!$A:$BL,59,0),"")</f>
        <v/>
      </c>
      <c r="Q12" t="str">
        <f>IFERROR(VLOOKUP($A12,[3]측정!$A:$BL,60,0),"")</f>
        <v/>
      </c>
      <c r="R12" t="str">
        <f>IFERROR(VLOOKUP($A12,[3]측정!$A:$BL,61,0),"")</f>
        <v/>
      </c>
      <c r="S12" t="str">
        <f>IFERROR(VLOOKUP($A12,[3]측정!$A:$BL,62,0),"")</f>
        <v/>
      </c>
      <c r="T12" t="str">
        <f>IFERROR(VLOOKUP($A12,[3]측정!$A:$BL,63,0),"")</f>
        <v/>
      </c>
      <c r="U12" t="str">
        <f>IFERROR(VLOOKUP($A12,[3]측정!$A:$BL,64,0),"")</f>
        <v/>
      </c>
      <c r="V12" t="str">
        <f>IFERROR(VLOOKUP($A12,[3]측정!$A:$M,5,0),"")</f>
        <v/>
      </c>
      <c r="W12" t="str">
        <f>IFERROR(VLOOKUP($A12,[3]측정!$A:$M,6,0),"")</f>
        <v/>
      </c>
      <c r="X12" t="str">
        <f>IFERROR(VLOOKUP($A12,[3]측정!$A:$M,7,0),"")</f>
        <v/>
      </c>
      <c r="Y12" t="str">
        <f>IFERROR(VLOOKUP($A12,[3]측정!$A:$M,8,0),"")</f>
        <v/>
      </c>
      <c r="Z12" t="str">
        <f>IFERROR(VLOOKUP($A12,[3]측정!$A:$M,9,0),"")</f>
        <v/>
      </c>
      <c r="AA12" t="str">
        <f>IFERROR(VLOOKUP($A12,[3]측정!$A:$M,10,0),"")</f>
        <v/>
      </c>
      <c r="AB12" t="str">
        <f>IFERROR(VLOOKUP($A12,[3]측정!$A:$M,11,0),"")</f>
        <v/>
      </c>
      <c r="AC12" t="str">
        <f>IFERROR(VLOOKUP($A12,[3]측정!$A:$M,12,0),"")</f>
        <v/>
      </c>
      <c r="AD12" t="str">
        <f>IFERROR(VLOOKUP($A12,[3]측정!$A:$M,13,0),"")</f>
        <v/>
      </c>
      <c r="AE12" t="str">
        <f>IFERROR(VLOOKUP($A12,[4]측정_24H데이타!$A:$AE,5,0),"")</f>
        <v/>
      </c>
      <c r="AF12" t="str">
        <f>IFERROR(VLOOKUP($A12,[4]측정_24H데이타!$A:$AE,6,0),"")</f>
        <v/>
      </c>
      <c r="AG12" t="str">
        <f>IFERROR(VLOOKUP($A12,[4]측정_24H데이타!$A:$AE,7,0),"")</f>
        <v/>
      </c>
      <c r="AH12" t="str">
        <f>IFERROR(VLOOKUP($A12,[4]측정_24H데이타!$A:$AE,8,0),"")</f>
        <v/>
      </c>
      <c r="AI12" t="str">
        <f>IFERROR(VLOOKUP($A12,[4]측정_24H데이타!$A:$AE,9,0),"")</f>
        <v/>
      </c>
      <c r="AJ12" t="str">
        <f>IFERROR(VLOOKUP($A12,[4]측정_24H데이타!$A:$AE,10,0),"")</f>
        <v/>
      </c>
      <c r="AK12" t="str">
        <f>IFERROR(VLOOKUP($A12,[4]측정_24H데이타!$A:$AE,11,0),"")</f>
        <v/>
      </c>
      <c r="AL12" t="str">
        <f>IFERROR(VLOOKUP($A12,[4]측정_24H데이타!$A:$AE,12,0),"")</f>
        <v/>
      </c>
      <c r="AM12" t="str">
        <f>IFERROR(VLOOKUP($A12,[4]측정_24H데이타!$A:$AE,13,0),"")</f>
        <v/>
      </c>
      <c r="AN12" t="str">
        <f>IFERROR(VLOOKUP($A12,[3]측정!$A:$AD,22,0),"")</f>
        <v/>
      </c>
      <c r="AO12" t="str">
        <f>IFERROR(VLOOKUP($A12,[3]측정!$A:$AD,23,0),"")</f>
        <v/>
      </c>
      <c r="AP12" t="str">
        <f>IFERROR(VLOOKUP($A12,[3]측정!$A:$AD,24,0),"")</f>
        <v/>
      </c>
      <c r="AQ12" t="str">
        <f>IFERROR(VLOOKUP($A12,[3]측정!$A:$AD,25,0),"")</f>
        <v/>
      </c>
      <c r="AR12" t="str">
        <f>IFERROR(VLOOKUP($A12,[3]측정!$A:$AD,26,0),"")</f>
        <v/>
      </c>
      <c r="AS12" t="str">
        <f>IFERROR(VLOOKUP($A12,[3]측정!$A:$AD,27,0),"")</f>
        <v/>
      </c>
      <c r="AT12" t="str">
        <f>IFERROR(VLOOKUP($A12,[3]측정!$A:$AD,28,0),"")</f>
        <v/>
      </c>
      <c r="AU12" t="str">
        <f>IFERROR(VLOOKUP($A12,[3]측정!$A:$AD,29,0),"")</f>
        <v/>
      </c>
      <c r="AV12" t="str">
        <f>IFERROR(VLOOKUP($A12,[3]측정!$A:$AD,30,0),"")</f>
        <v/>
      </c>
      <c r="AW12" t="str">
        <f>IFERROR(VLOOKUP($A12,[4]측정_24H데이타!$A:$AE,14,0),"")</f>
        <v/>
      </c>
      <c r="AX12" t="str">
        <f>IFERROR(VLOOKUP($A12,[4]측정_24H데이타!$A:$AE,15,0),"")</f>
        <v/>
      </c>
      <c r="AY12" t="str">
        <f>IFERROR(VLOOKUP($A12,[4]측정_24H데이타!$A:$AE,16,0),"")</f>
        <v/>
      </c>
      <c r="AZ12" t="str">
        <f>IFERROR(VLOOKUP($A12,[4]측정_24H데이타!$A:$AE,17,0),"")</f>
        <v/>
      </c>
      <c r="BA12" t="str">
        <f>IFERROR(VLOOKUP($A12,[4]측정_24H데이타!$A:$AE,18,0),"")</f>
        <v/>
      </c>
      <c r="BB12" t="str">
        <f>IFERROR(VLOOKUP($A12,[4]측정_24H데이타!$A:$AE,19,0),"")</f>
        <v/>
      </c>
      <c r="BC12" t="str">
        <f>IFERROR(VLOOKUP($A12,[4]측정_24H데이타!$A:$AE,20,0),"")</f>
        <v/>
      </c>
      <c r="BD12" t="str">
        <f>IFERROR(VLOOKUP($A12,[4]측정_24H데이타!$A:$AE,21,0),"")</f>
        <v/>
      </c>
      <c r="BE12" t="str">
        <f>IFERROR(VLOOKUP($A12,[4]측정_24H데이타!$A:$AE,22,0),"")</f>
        <v/>
      </c>
      <c r="BF12" t="str">
        <f>IFERROR(VLOOKUP($A12,[3]측정!$A:$AU,39,0),"")</f>
        <v/>
      </c>
      <c r="BG12" t="str">
        <f>IFERROR(VLOOKUP($A12,[3]측정!$A:$AU,40,0),"")</f>
        <v/>
      </c>
      <c r="BH12" t="str">
        <f>IFERROR(VLOOKUP($A12,[3]측정!$A:$AU,41,0),"")</f>
        <v/>
      </c>
      <c r="BI12" t="str">
        <f>IFERROR(VLOOKUP($A12,[3]측정!$A:$AU,42,0),"")</f>
        <v/>
      </c>
      <c r="BJ12" t="str">
        <f>IFERROR(VLOOKUP($A12,[3]측정!$A:$AU,43,0),"")</f>
        <v/>
      </c>
      <c r="BK12" t="str">
        <f>IFERROR(VLOOKUP($A12,[3]측정!$A:$AU,44,0),"")</f>
        <v/>
      </c>
      <c r="BL12" t="str">
        <f>IFERROR(VLOOKUP($A12,[3]측정!$A:$AU,45,0),"")</f>
        <v/>
      </c>
      <c r="BM12" t="str">
        <f>IFERROR(VLOOKUP($A12,[3]측정!$A:$AU,46,0),"")</f>
        <v/>
      </c>
      <c r="BN12" t="str">
        <f>IFERROR(VLOOKUP($A12,[3]측정!$A:$AU,47,0),"")</f>
        <v/>
      </c>
      <c r="BO12" t="str">
        <f>IFERROR(VLOOKUP($A12,[4]측정_24H데이타!$A:$AE,23,0),"")</f>
        <v/>
      </c>
      <c r="BP12" t="str">
        <f>IFERROR(VLOOKUP($A12,[4]측정_24H데이타!$A:$AE,24,0),"")</f>
        <v/>
      </c>
      <c r="BQ12" t="str">
        <f>IFERROR(VLOOKUP($A12,[4]측정_24H데이타!$A:$AE,25,0),"")</f>
        <v/>
      </c>
      <c r="BR12" t="str">
        <f>IFERROR(VLOOKUP($A12,[4]측정_24H데이타!$A:$AE,26,0),"")</f>
        <v/>
      </c>
      <c r="BS12" t="str">
        <f>IFERROR(VLOOKUP($A12,[4]측정_24H데이타!$A:$AE,27,0),"")</f>
        <v/>
      </c>
      <c r="BT12" t="str">
        <f>IFERROR(VLOOKUP($A12,[4]측정_24H데이타!$A:$AE,28,0),"")</f>
        <v/>
      </c>
      <c r="BU12" t="str">
        <f>IFERROR(VLOOKUP($A12,[4]측정_24H데이타!$A:$AE,29,0),"")</f>
        <v/>
      </c>
      <c r="BV12" t="str">
        <f>IFERROR(VLOOKUP($A12,[4]측정_24H데이타!$A:$AE,30,0),"")</f>
        <v/>
      </c>
      <c r="BW12" t="str">
        <f>IFERROR(VLOOKUP($A12,[4]측정_24H데이타!$A:$AE,31,0),"")</f>
        <v/>
      </c>
    </row>
    <row r="13" spans="1:75">
      <c r="L13" t="str">
        <f>IFERROR(VLOOKUP($A13,'[3]사출실험_CYCLE TIME'!$A:$H,8,0),"")</f>
        <v/>
      </c>
      <c r="M13" t="str">
        <f>IFERROR(VLOOKUP($A13,[3]측정!$A:$BL,56,0),"")</f>
        <v/>
      </c>
      <c r="N13" t="str">
        <f>IFERROR(VLOOKUP($A13,[3]측정!$A:$BL,57,0),"")</f>
        <v/>
      </c>
      <c r="O13" t="str">
        <f>IFERROR(VLOOKUP($A13,[3]측정!$A:$BL,58,0),"")</f>
        <v/>
      </c>
      <c r="P13" t="str">
        <f>IFERROR(VLOOKUP($A13,[3]측정!$A:$BL,59,0),"")</f>
        <v/>
      </c>
      <c r="Q13" t="str">
        <f>IFERROR(VLOOKUP($A13,[3]측정!$A:$BL,60,0),"")</f>
        <v/>
      </c>
      <c r="R13" t="str">
        <f>IFERROR(VLOOKUP($A13,[3]측정!$A:$BL,61,0),"")</f>
        <v/>
      </c>
      <c r="S13" t="str">
        <f>IFERROR(VLOOKUP($A13,[3]측정!$A:$BL,62,0),"")</f>
        <v/>
      </c>
      <c r="T13" t="str">
        <f>IFERROR(VLOOKUP($A13,[3]측정!$A:$BL,63,0),"")</f>
        <v/>
      </c>
      <c r="U13" t="str">
        <f>IFERROR(VLOOKUP($A13,[3]측정!$A:$BL,64,0),"")</f>
        <v/>
      </c>
      <c r="V13" t="str">
        <f>IFERROR(VLOOKUP($A13,[3]측정!$A:$M,5,0),"")</f>
        <v/>
      </c>
      <c r="W13" t="str">
        <f>IFERROR(VLOOKUP($A13,[3]측정!$A:$M,6,0),"")</f>
        <v/>
      </c>
      <c r="X13" t="str">
        <f>IFERROR(VLOOKUP($A13,[3]측정!$A:$M,7,0),"")</f>
        <v/>
      </c>
      <c r="Y13" t="str">
        <f>IFERROR(VLOOKUP($A13,[3]측정!$A:$M,8,0),"")</f>
        <v/>
      </c>
      <c r="Z13" t="str">
        <f>IFERROR(VLOOKUP($A13,[3]측정!$A:$M,9,0),"")</f>
        <v/>
      </c>
      <c r="AA13" t="str">
        <f>IFERROR(VLOOKUP($A13,[3]측정!$A:$M,10,0),"")</f>
        <v/>
      </c>
      <c r="AB13" t="str">
        <f>IFERROR(VLOOKUP($A13,[3]측정!$A:$M,11,0),"")</f>
        <v/>
      </c>
      <c r="AC13" t="str">
        <f>IFERROR(VLOOKUP($A13,[3]측정!$A:$M,12,0),"")</f>
        <v/>
      </c>
      <c r="AD13" t="str">
        <f>IFERROR(VLOOKUP($A13,[3]측정!$A:$M,13,0),"")</f>
        <v/>
      </c>
      <c r="AE13" t="str">
        <f>IFERROR(VLOOKUP($A13,[4]측정_24H데이타!$A:$AE,5,0),"")</f>
        <v/>
      </c>
      <c r="AF13" t="str">
        <f>IFERROR(VLOOKUP($A13,[4]측정_24H데이타!$A:$AE,6,0),"")</f>
        <v/>
      </c>
      <c r="AG13" t="str">
        <f>IFERROR(VLOOKUP($A13,[4]측정_24H데이타!$A:$AE,7,0),"")</f>
        <v/>
      </c>
      <c r="AH13" t="str">
        <f>IFERROR(VLOOKUP($A13,[4]측정_24H데이타!$A:$AE,8,0),"")</f>
        <v/>
      </c>
      <c r="AI13" t="str">
        <f>IFERROR(VLOOKUP($A13,[4]측정_24H데이타!$A:$AE,9,0),"")</f>
        <v/>
      </c>
      <c r="AJ13" t="str">
        <f>IFERROR(VLOOKUP($A13,[4]측정_24H데이타!$A:$AE,10,0),"")</f>
        <v/>
      </c>
      <c r="AK13" t="str">
        <f>IFERROR(VLOOKUP($A13,[4]측정_24H데이타!$A:$AE,11,0),"")</f>
        <v/>
      </c>
      <c r="AL13" t="str">
        <f>IFERROR(VLOOKUP($A13,[4]측정_24H데이타!$A:$AE,12,0),"")</f>
        <v/>
      </c>
      <c r="AM13" t="str">
        <f>IFERROR(VLOOKUP($A13,[4]측정_24H데이타!$A:$AE,13,0),"")</f>
        <v/>
      </c>
      <c r="AN13" t="str">
        <f>IFERROR(VLOOKUP($A13,[3]측정!$A:$AD,22,0),"")</f>
        <v/>
      </c>
      <c r="AO13" t="str">
        <f>IFERROR(VLOOKUP($A13,[3]측정!$A:$AD,23,0),"")</f>
        <v/>
      </c>
      <c r="AP13" t="str">
        <f>IFERROR(VLOOKUP($A13,[3]측정!$A:$AD,24,0),"")</f>
        <v/>
      </c>
      <c r="AQ13" t="str">
        <f>IFERROR(VLOOKUP($A13,[3]측정!$A:$AD,25,0),"")</f>
        <v/>
      </c>
      <c r="AR13" t="str">
        <f>IFERROR(VLOOKUP($A13,[3]측정!$A:$AD,26,0),"")</f>
        <v/>
      </c>
      <c r="AS13" t="str">
        <f>IFERROR(VLOOKUP($A13,[3]측정!$A:$AD,27,0),"")</f>
        <v/>
      </c>
      <c r="AT13" t="str">
        <f>IFERROR(VLOOKUP($A13,[3]측정!$A:$AD,28,0),"")</f>
        <v/>
      </c>
      <c r="AU13" t="str">
        <f>IFERROR(VLOOKUP($A13,[3]측정!$A:$AD,29,0),"")</f>
        <v/>
      </c>
      <c r="AV13" t="str">
        <f>IFERROR(VLOOKUP($A13,[3]측정!$A:$AD,30,0),"")</f>
        <v/>
      </c>
      <c r="AW13" t="str">
        <f>IFERROR(VLOOKUP($A13,[4]측정_24H데이타!$A:$AE,14,0),"")</f>
        <v/>
      </c>
      <c r="AX13" t="str">
        <f>IFERROR(VLOOKUP($A13,[4]측정_24H데이타!$A:$AE,15,0),"")</f>
        <v/>
      </c>
      <c r="AY13" t="str">
        <f>IFERROR(VLOOKUP($A13,[4]측정_24H데이타!$A:$AE,16,0),"")</f>
        <v/>
      </c>
      <c r="AZ13" t="str">
        <f>IFERROR(VLOOKUP($A13,[4]측정_24H데이타!$A:$AE,17,0),"")</f>
        <v/>
      </c>
      <c r="BA13" t="str">
        <f>IFERROR(VLOOKUP($A13,[4]측정_24H데이타!$A:$AE,18,0),"")</f>
        <v/>
      </c>
      <c r="BB13" t="str">
        <f>IFERROR(VLOOKUP($A13,[4]측정_24H데이타!$A:$AE,19,0),"")</f>
        <v/>
      </c>
      <c r="BC13" t="str">
        <f>IFERROR(VLOOKUP($A13,[4]측정_24H데이타!$A:$AE,20,0),"")</f>
        <v/>
      </c>
      <c r="BD13" t="str">
        <f>IFERROR(VLOOKUP($A13,[4]측정_24H데이타!$A:$AE,21,0),"")</f>
        <v/>
      </c>
      <c r="BE13" t="str">
        <f>IFERROR(VLOOKUP($A13,[4]측정_24H데이타!$A:$AE,22,0),"")</f>
        <v/>
      </c>
      <c r="BF13" t="str">
        <f>IFERROR(VLOOKUP($A13,[3]측정!$A:$AU,39,0),"")</f>
        <v/>
      </c>
      <c r="BG13" t="str">
        <f>IFERROR(VLOOKUP($A13,[3]측정!$A:$AU,40,0),"")</f>
        <v/>
      </c>
      <c r="BH13" t="str">
        <f>IFERROR(VLOOKUP($A13,[3]측정!$A:$AU,41,0),"")</f>
        <v/>
      </c>
      <c r="BI13" t="str">
        <f>IFERROR(VLOOKUP($A13,[3]측정!$A:$AU,42,0),"")</f>
        <v/>
      </c>
      <c r="BJ13" t="str">
        <f>IFERROR(VLOOKUP($A13,[3]측정!$A:$AU,43,0),"")</f>
        <v/>
      </c>
      <c r="BK13" t="str">
        <f>IFERROR(VLOOKUP($A13,[3]측정!$A:$AU,44,0),"")</f>
        <v/>
      </c>
      <c r="BL13" t="str">
        <f>IFERROR(VLOOKUP($A13,[3]측정!$A:$AU,45,0),"")</f>
        <v/>
      </c>
      <c r="BM13" t="str">
        <f>IFERROR(VLOOKUP($A13,[3]측정!$A:$AU,46,0),"")</f>
        <v/>
      </c>
      <c r="BN13" t="str">
        <f>IFERROR(VLOOKUP($A13,[3]측정!$A:$AU,47,0),"")</f>
        <v/>
      </c>
      <c r="BO13" t="str">
        <f>IFERROR(VLOOKUP($A13,[4]측정_24H데이타!$A:$AE,23,0),"")</f>
        <v/>
      </c>
      <c r="BP13" t="str">
        <f>IFERROR(VLOOKUP($A13,[4]측정_24H데이타!$A:$AE,24,0),"")</f>
        <v/>
      </c>
      <c r="BQ13" t="str">
        <f>IFERROR(VLOOKUP($A13,[4]측정_24H데이타!$A:$AE,25,0),"")</f>
        <v/>
      </c>
      <c r="BR13" t="str">
        <f>IFERROR(VLOOKUP($A13,[4]측정_24H데이타!$A:$AE,26,0),"")</f>
        <v/>
      </c>
      <c r="BS13" t="str">
        <f>IFERROR(VLOOKUP($A13,[4]측정_24H데이타!$A:$AE,27,0),"")</f>
        <v/>
      </c>
      <c r="BT13" t="str">
        <f>IFERROR(VLOOKUP($A13,[4]측정_24H데이타!$A:$AE,28,0),"")</f>
        <v/>
      </c>
      <c r="BU13" t="str">
        <f>IFERROR(VLOOKUP($A13,[4]측정_24H데이타!$A:$AE,29,0),"")</f>
        <v/>
      </c>
      <c r="BV13" t="str">
        <f>IFERROR(VLOOKUP($A13,[4]측정_24H데이타!$A:$AE,30,0),"")</f>
        <v/>
      </c>
      <c r="BW13" t="str">
        <f>IFERROR(VLOOKUP($A13,[4]측정_24H데이타!$A:$AE,31,0),"")</f>
        <v/>
      </c>
    </row>
    <row r="14" spans="1:75">
      <c r="L14" t="str">
        <f>IFERROR(VLOOKUP($A14,'[3]사출실험_CYCLE TIME'!$A:$H,8,0),"")</f>
        <v/>
      </c>
      <c r="M14" t="str">
        <f>IFERROR(VLOOKUP($A14,[3]측정!$A:$BL,56,0),"")</f>
        <v/>
      </c>
      <c r="N14" t="str">
        <f>IFERROR(VLOOKUP($A14,[3]측정!$A:$BL,57,0),"")</f>
        <v/>
      </c>
      <c r="O14" t="str">
        <f>IFERROR(VLOOKUP($A14,[3]측정!$A:$BL,58,0),"")</f>
        <v/>
      </c>
      <c r="P14" t="str">
        <f>IFERROR(VLOOKUP($A14,[3]측정!$A:$BL,59,0),"")</f>
        <v/>
      </c>
      <c r="Q14" t="str">
        <f>IFERROR(VLOOKUP($A14,[3]측정!$A:$BL,60,0),"")</f>
        <v/>
      </c>
      <c r="R14" t="str">
        <f>IFERROR(VLOOKUP($A14,[3]측정!$A:$BL,61,0),"")</f>
        <v/>
      </c>
      <c r="S14" t="str">
        <f>IFERROR(VLOOKUP($A14,[3]측정!$A:$BL,62,0),"")</f>
        <v/>
      </c>
      <c r="T14" t="str">
        <f>IFERROR(VLOOKUP($A14,[3]측정!$A:$BL,63,0),"")</f>
        <v/>
      </c>
      <c r="U14" t="str">
        <f>IFERROR(VLOOKUP($A14,[3]측정!$A:$BL,64,0),"")</f>
        <v/>
      </c>
      <c r="V14" t="str">
        <f>IFERROR(VLOOKUP($A14,[3]측정!$A:$M,5,0),"")</f>
        <v/>
      </c>
      <c r="W14" t="str">
        <f>IFERROR(VLOOKUP($A14,[3]측정!$A:$M,6,0),"")</f>
        <v/>
      </c>
      <c r="X14" t="str">
        <f>IFERROR(VLOOKUP($A14,[3]측정!$A:$M,7,0),"")</f>
        <v/>
      </c>
      <c r="Y14" t="str">
        <f>IFERROR(VLOOKUP($A14,[3]측정!$A:$M,8,0),"")</f>
        <v/>
      </c>
      <c r="Z14" t="str">
        <f>IFERROR(VLOOKUP($A14,[3]측정!$A:$M,9,0),"")</f>
        <v/>
      </c>
      <c r="AA14" t="str">
        <f>IFERROR(VLOOKUP($A14,[3]측정!$A:$M,10,0),"")</f>
        <v/>
      </c>
      <c r="AB14" t="str">
        <f>IFERROR(VLOOKUP($A14,[3]측정!$A:$M,11,0),"")</f>
        <v/>
      </c>
      <c r="AC14" t="str">
        <f>IFERROR(VLOOKUP($A14,[3]측정!$A:$M,12,0),"")</f>
        <v/>
      </c>
      <c r="AD14" t="str">
        <f>IFERROR(VLOOKUP($A14,[3]측정!$A:$M,13,0),"")</f>
        <v/>
      </c>
      <c r="AE14" t="str">
        <f>IFERROR(VLOOKUP($A14,[4]측정_24H데이타!$A:$AE,5,0),"")</f>
        <v/>
      </c>
      <c r="AF14" t="str">
        <f>IFERROR(VLOOKUP($A14,[4]측정_24H데이타!$A:$AE,6,0),"")</f>
        <v/>
      </c>
      <c r="AG14" t="str">
        <f>IFERROR(VLOOKUP($A14,[4]측정_24H데이타!$A:$AE,7,0),"")</f>
        <v/>
      </c>
      <c r="AH14" t="str">
        <f>IFERROR(VLOOKUP($A14,[4]측정_24H데이타!$A:$AE,8,0),"")</f>
        <v/>
      </c>
      <c r="AI14" t="str">
        <f>IFERROR(VLOOKUP($A14,[4]측정_24H데이타!$A:$AE,9,0),"")</f>
        <v/>
      </c>
      <c r="AJ14" t="str">
        <f>IFERROR(VLOOKUP($A14,[4]측정_24H데이타!$A:$AE,10,0),"")</f>
        <v/>
      </c>
      <c r="AK14" t="str">
        <f>IFERROR(VLOOKUP($A14,[4]측정_24H데이타!$A:$AE,11,0),"")</f>
        <v/>
      </c>
      <c r="AL14" t="str">
        <f>IFERROR(VLOOKUP($A14,[4]측정_24H데이타!$A:$AE,12,0),"")</f>
        <v/>
      </c>
      <c r="AM14" t="str">
        <f>IFERROR(VLOOKUP($A14,[4]측정_24H데이타!$A:$AE,13,0),"")</f>
        <v/>
      </c>
      <c r="AN14" t="str">
        <f>IFERROR(VLOOKUP($A14,[3]측정!$A:$AD,22,0),"")</f>
        <v/>
      </c>
      <c r="AO14" t="str">
        <f>IFERROR(VLOOKUP($A14,[3]측정!$A:$AD,23,0),"")</f>
        <v/>
      </c>
      <c r="AP14" t="str">
        <f>IFERROR(VLOOKUP($A14,[3]측정!$A:$AD,24,0),"")</f>
        <v/>
      </c>
      <c r="AQ14" t="str">
        <f>IFERROR(VLOOKUP($A14,[3]측정!$A:$AD,25,0),"")</f>
        <v/>
      </c>
      <c r="AR14" t="str">
        <f>IFERROR(VLOOKUP($A14,[3]측정!$A:$AD,26,0),"")</f>
        <v/>
      </c>
      <c r="AS14" t="str">
        <f>IFERROR(VLOOKUP($A14,[3]측정!$A:$AD,27,0),"")</f>
        <v/>
      </c>
      <c r="AT14" t="str">
        <f>IFERROR(VLOOKUP($A14,[3]측정!$A:$AD,28,0),"")</f>
        <v/>
      </c>
      <c r="AU14" t="str">
        <f>IFERROR(VLOOKUP($A14,[3]측정!$A:$AD,29,0),"")</f>
        <v/>
      </c>
      <c r="AV14" t="str">
        <f>IFERROR(VLOOKUP($A14,[3]측정!$A:$AD,30,0),"")</f>
        <v/>
      </c>
      <c r="AW14" t="str">
        <f>IFERROR(VLOOKUP($A14,[4]측정_24H데이타!$A:$AE,14,0),"")</f>
        <v/>
      </c>
      <c r="AX14" t="str">
        <f>IFERROR(VLOOKUP($A14,[4]측정_24H데이타!$A:$AE,15,0),"")</f>
        <v/>
      </c>
      <c r="AY14" t="str">
        <f>IFERROR(VLOOKUP($A14,[4]측정_24H데이타!$A:$AE,16,0),"")</f>
        <v/>
      </c>
      <c r="AZ14" t="str">
        <f>IFERROR(VLOOKUP($A14,[4]측정_24H데이타!$A:$AE,17,0),"")</f>
        <v/>
      </c>
      <c r="BA14" t="str">
        <f>IFERROR(VLOOKUP($A14,[4]측정_24H데이타!$A:$AE,18,0),"")</f>
        <v/>
      </c>
      <c r="BB14" t="str">
        <f>IFERROR(VLOOKUP($A14,[4]측정_24H데이타!$A:$AE,19,0),"")</f>
        <v/>
      </c>
      <c r="BC14" t="str">
        <f>IFERROR(VLOOKUP($A14,[4]측정_24H데이타!$A:$AE,20,0),"")</f>
        <v/>
      </c>
      <c r="BD14" t="str">
        <f>IFERROR(VLOOKUP($A14,[4]측정_24H데이타!$A:$AE,21,0),"")</f>
        <v/>
      </c>
      <c r="BE14" t="str">
        <f>IFERROR(VLOOKUP($A14,[4]측정_24H데이타!$A:$AE,22,0),"")</f>
        <v/>
      </c>
      <c r="BF14" t="str">
        <f>IFERROR(VLOOKUP($A14,[3]측정!$A:$AU,39,0),"")</f>
        <v/>
      </c>
      <c r="BG14" t="str">
        <f>IFERROR(VLOOKUP($A14,[3]측정!$A:$AU,40,0),"")</f>
        <v/>
      </c>
      <c r="BH14" t="str">
        <f>IFERROR(VLOOKUP($A14,[3]측정!$A:$AU,41,0),"")</f>
        <v/>
      </c>
      <c r="BI14" t="str">
        <f>IFERROR(VLOOKUP($A14,[3]측정!$A:$AU,42,0),"")</f>
        <v/>
      </c>
      <c r="BJ14" t="str">
        <f>IFERROR(VLOOKUP($A14,[3]측정!$A:$AU,43,0),"")</f>
        <v/>
      </c>
      <c r="BK14" t="str">
        <f>IFERROR(VLOOKUP($A14,[3]측정!$A:$AU,44,0),"")</f>
        <v/>
      </c>
      <c r="BL14" t="str">
        <f>IFERROR(VLOOKUP($A14,[3]측정!$A:$AU,45,0),"")</f>
        <v/>
      </c>
      <c r="BM14" t="str">
        <f>IFERROR(VLOOKUP($A14,[3]측정!$A:$AU,46,0),"")</f>
        <v/>
      </c>
      <c r="BN14" t="str">
        <f>IFERROR(VLOOKUP($A14,[3]측정!$A:$AU,47,0),"")</f>
        <v/>
      </c>
      <c r="BO14" t="str">
        <f>IFERROR(VLOOKUP($A14,[4]측정_24H데이타!$A:$AE,23,0),"")</f>
        <v/>
      </c>
      <c r="BP14" t="str">
        <f>IFERROR(VLOOKUP($A14,[4]측정_24H데이타!$A:$AE,24,0),"")</f>
        <v/>
      </c>
      <c r="BQ14" t="str">
        <f>IFERROR(VLOOKUP($A14,[4]측정_24H데이타!$A:$AE,25,0),"")</f>
        <v/>
      </c>
      <c r="BR14" t="str">
        <f>IFERROR(VLOOKUP($A14,[4]측정_24H데이타!$A:$AE,26,0),"")</f>
        <v/>
      </c>
      <c r="BS14" t="str">
        <f>IFERROR(VLOOKUP($A14,[4]측정_24H데이타!$A:$AE,27,0),"")</f>
        <v/>
      </c>
      <c r="BT14" t="str">
        <f>IFERROR(VLOOKUP($A14,[4]측정_24H데이타!$A:$AE,28,0),"")</f>
        <v/>
      </c>
      <c r="BU14" t="str">
        <f>IFERROR(VLOOKUP($A14,[4]측정_24H데이타!$A:$AE,29,0),"")</f>
        <v/>
      </c>
      <c r="BV14" t="str">
        <f>IFERROR(VLOOKUP($A14,[4]측정_24H데이타!$A:$AE,30,0),"")</f>
        <v/>
      </c>
      <c r="BW14" t="str">
        <f>IFERROR(VLOOKUP($A14,[4]측정_24H데이타!$A:$AE,31,0),"")</f>
        <v/>
      </c>
    </row>
    <row r="15" spans="1:75">
      <c r="L15" t="str">
        <f>IFERROR(VLOOKUP($A15,'[3]사출실험_CYCLE TIME'!$A:$H,8,0),"")</f>
        <v/>
      </c>
      <c r="M15" t="str">
        <f>IFERROR(VLOOKUP($A15,[3]측정!$A:$BL,56,0),"")</f>
        <v/>
      </c>
      <c r="N15" t="str">
        <f>IFERROR(VLOOKUP($A15,[3]측정!$A:$BL,57,0),"")</f>
        <v/>
      </c>
      <c r="O15" t="str">
        <f>IFERROR(VLOOKUP($A15,[3]측정!$A:$BL,58,0),"")</f>
        <v/>
      </c>
      <c r="P15" t="str">
        <f>IFERROR(VLOOKUP($A15,[3]측정!$A:$BL,59,0),"")</f>
        <v/>
      </c>
      <c r="Q15" t="str">
        <f>IFERROR(VLOOKUP($A15,[3]측정!$A:$BL,60,0),"")</f>
        <v/>
      </c>
      <c r="R15" t="str">
        <f>IFERROR(VLOOKUP($A15,[3]측정!$A:$BL,61,0),"")</f>
        <v/>
      </c>
      <c r="S15" t="str">
        <f>IFERROR(VLOOKUP($A15,[3]측정!$A:$BL,62,0),"")</f>
        <v/>
      </c>
      <c r="T15" t="str">
        <f>IFERROR(VLOOKUP($A15,[3]측정!$A:$BL,63,0),"")</f>
        <v/>
      </c>
      <c r="U15" t="str">
        <f>IFERROR(VLOOKUP($A15,[3]측정!$A:$BL,64,0),"")</f>
        <v/>
      </c>
      <c r="V15" t="str">
        <f>IFERROR(VLOOKUP($A15,[3]측정!$A:$M,5,0),"")</f>
        <v/>
      </c>
      <c r="W15" t="str">
        <f>IFERROR(VLOOKUP($A15,[3]측정!$A:$M,6,0),"")</f>
        <v/>
      </c>
      <c r="X15" t="str">
        <f>IFERROR(VLOOKUP($A15,[3]측정!$A:$M,7,0),"")</f>
        <v/>
      </c>
      <c r="Y15" t="str">
        <f>IFERROR(VLOOKUP($A15,[3]측정!$A:$M,8,0),"")</f>
        <v/>
      </c>
      <c r="Z15" t="str">
        <f>IFERROR(VLOOKUP($A15,[3]측정!$A:$M,9,0),"")</f>
        <v/>
      </c>
      <c r="AA15" t="str">
        <f>IFERROR(VLOOKUP($A15,[3]측정!$A:$M,10,0),"")</f>
        <v/>
      </c>
      <c r="AB15" t="str">
        <f>IFERROR(VLOOKUP($A15,[3]측정!$A:$M,11,0),"")</f>
        <v/>
      </c>
      <c r="AC15" t="str">
        <f>IFERROR(VLOOKUP($A15,[3]측정!$A:$M,12,0),"")</f>
        <v/>
      </c>
      <c r="AD15" t="str">
        <f>IFERROR(VLOOKUP($A15,[3]측정!$A:$M,13,0),"")</f>
        <v/>
      </c>
      <c r="AE15" t="str">
        <f>IFERROR(VLOOKUP($A15,[4]측정_24H데이타!$A:$AE,5,0),"")</f>
        <v/>
      </c>
      <c r="AF15" t="str">
        <f>IFERROR(VLOOKUP($A15,[4]측정_24H데이타!$A:$AE,6,0),"")</f>
        <v/>
      </c>
      <c r="AG15" t="str">
        <f>IFERROR(VLOOKUP($A15,[4]측정_24H데이타!$A:$AE,7,0),"")</f>
        <v/>
      </c>
      <c r="AH15" t="str">
        <f>IFERROR(VLOOKUP($A15,[4]측정_24H데이타!$A:$AE,8,0),"")</f>
        <v/>
      </c>
      <c r="AI15" t="str">
        <f>IFERROR(VLOOKUP($A15,[4]측정_24H데이타!$A:$AE,9,0),"")</f>
        <v/>
      </c>
      <c r="AJ15" t="str">
        <f>IFERROR(VLOOKUP($A15,[4]측정_24H데이타!$A:$AE,10,0),"")</f>
        <v/>
      </c>
      <c r="AK15" t="str">
        <f>IFERROR(VLOOKUP($A15,[4]측정_24H데이타!$A:$AE,11,0),"")</f>
        <v/>
      </c>
      <c r="AL15" t="str">
        <f>IFERROR(VLOOKUP($A15,[4]측정_24H데이타!$A:$AE,12,0),"")</f>
        <v/>
      </c>
      <c r="AM15" t="str">
        <f>IFERROR(VLOOKUP($A15,[4]측정_24H데이타!$A:$AE,13,0),"")</f>
        <v/>
      </c>
      <c r="AN15" t="str">
        <f>IFERROR(VLOOKUP($A15,[3]측정!$A:$AD,22,0),"")</f>
        <v/>
      </c>
      <c r="AO15" t="str">
        <f>IFERROR(VLOOKUP($A15,[3]측정!$A:$AD,23,0),"")</f>
        <v/>
      </c>
      <c r="AP15" t="str">
        <f>IFERROR(VLOOKUP($A15,[3]측정!$A:$AD,24,0),"")</f>
        <v/>
      </c>
      <c r="AQ15" t="str">
        <f>IFERROR(VLOOKUP($A15,[3]측정!$A:$AD,25,0),"")</f>
        <v/>
      </c>
      <c r="AR15" t="str">
        <f>IFERROR(VLOOKUP($A15,[3]측정!$A:$AD,26,0),"")</f>
        <v/>
      </c>
      <c r="AS15" t="str">
        <f>IFERROR(VLOOKUP($A15,[3]측정!$A:$AD,27,0),"")</f>
        <v/>
      </c>
      <c r="AT15" t="str">
        <f>IFERROR(VLOOKUP($A15,[3]측정!$A:$AD,28,0),"")</f>
        <v/>
      </c>
      <c r="AU15" t="str">
        <f>IFERROR(VLOOKUP($A15,[3]측정!$A:$AD,29,0),"")</f>
        <v/>
      </c>
      <c r="AV15" t="str">
        <f>IFERROR(VLOOKUP($A15,[3]측정!$A:$AD,30,0),"")</f>
        <v/>
      </c>
      <c r="AW15" t="str">
        <f>IFERROR(VLOOKUP($A15,[4]측정_24H데이타!$A:$AE,14,0),"")</f>
        <v/>
      </c>
      <c r="AX15" t="str">
        <f>IFERROR(VLOOKUP($A15,[4]측정_24H데이타!$A:$AE,15,0),"")</f>
        <v/>
      </c>
      <c r="AY15" t="str">
        <f>IFERROR(VLOOKUP($A15,[4]측정_24H데이타!$A:$AE,16,0),"")</f>
        <v/>
      </c>
      <c r="AZ15" t="str">
        <f>IFERROR(VLOOKUP($A15,[4]측정_24H데이타!$A:$AE,17,0),"")</f>
        <v/>
      </c>
      <c r="BA15" t="str">
        <f>IFERROR(VLOOKUP($A15,[4]측정_24H데이타!$A:$AE,18,0),"")</f>
        <v/>
      </c>
      <c r="BB15" t="str">
        <f>IFERROR(VLOOKUP($A15,[4]측정_24H데이타!$A:$AE,19,0),"")</f>
        <v/>
      </c>
      <c r="BC15" t="str">
        <f>IFERROR(VLOOKUP($A15,[4]측정_24H데이타!$A:$AE,20,0),"")</f>
        <v/>
      </c>
      <c r="BD15" t="str">
        <f>IFERROR(VLOOKUP($A15,[4]측정_24H데이타!$A:$AE,21,0),"")</f>
        <v/>
      </c>
      <c r="BE15" t="str">
        <f>IFERROR(VLOOKUP($A15,[4]측정_24H데이타!$A:$AE,22,0),"")</f>
        <v/>
      </c>
      <c r="BF15" t="str">
        <f>IFERROR(VLOOKUP($A15,[3]측정!$A:$AU,39,0),"")</f>
        <v/>
      </c>
      <c r="BG15" t="str">
        <f>IFERROR(VLOOKUP($A15,[3]측정!$A:$AU,40,0),"")</f>
        <v/>
      </c>
      <c r="BH15" t="str">
        <f>IFERROR(VLOOKUP($A15,[3]측정!$A:$AU,41,0),"")</f>
        <v/>
      </c>
      <c r="BI15" t="str">
        <f>IFERROR(VLOOKUP($A15,[3]측정!$A:$AU,42,0),"")</f>
        <v/>
      </c>
      <c r="BJ15" t="str">
        <f>IFERROR(VLOOKUP($A15,[3]측정!$A:$AU,43,0),"")</f>
        <v/>
      </c>
      <c r="BK15" t="str">
        <f>IFERROR(VLOOKUP($A15,[3]측정!$A:$AU,44,0),"")</f>
        <v/>
      </c>
      <c r="BL15" t="str">
        <f>IFERROR(VLOOKUP($A15,[3]측정!$A:$AU,45,0),"")</f>
        <v/>
      </c>
      <c r="BM15" t="str">
        <f>IFERROR(VLOOKUP($A15,[3]측정!$A:$AU,46,0),"")</f>
        <v/>
      </c>
      <c r="BN15" t="str">
        <f>IFERROR(VLOOKUP($A15,[3]측정!$A:$AU,47,0),"")</f>
        <v/>
      </c>
      <c r="BO15" t="str">
        <f>IFERROR(VLOOKUP($A15,[4]측정_24H데이타!$A:$AE,23,0),"")</f>
        <v/>
      </c>
      <c r="BP15" t="str">
        <f>IFERROR(VLOOKUP($A15,[4]측정_24H데이타!$A:$AE,24,0),"")</f>
        <v/>
      </c>
      <c r="BQ15" t="str">
        <f>IFERROR(VLOOKUP($A15,[4]측정_24H데이타!$A:$AE,25,0),"")</f>
        <v/>
      </c>
      <c r="BR15" t="str">
        <f>IFERROR(VLOOKUP($A15,[4]측정_24H데이타!$A:$AE,26,0),"")</f>
        <v/>
      </c>
      <c r="BS15" t="str">
        <f>IFERROR(VLOOKUP($A15,[4]측정_24H데이타!$A:$AE,27,0),"")</f>
        <v/>
      </c>
      <c r="BT15" t="str">
        <f>IFERROR(VLOOKUP($A15,[4]측정_24H데이타!$A:$AE,28,0),"")</f>
        <v/>
      </c>
      <c r="BU15" t="str">
        <f>IFERROR(VLOOKUP($A15,[4]측정_24H데이타!$A:$AE,29,0),"")</f>
        <v/>
      </c>
      <c r="BV15" t="str">
        <f>IFERROR(VLOOKUP($A15,[4]측정_24H데이타!$A:$AE,30,0),"")</f>
        <v/>
      </c>
      <c r="BW15" t="str">
        <f>IFERROR(VLOOKUP($A15,[4]측정_24H데이타!$A:$AE,31,0),"")</f>
        <v/>
      </c>
    </row>
    <row r="16" spans="1:75">
      <c r="L16" t="str">
        <f>IFERROR(VLOOKUP($A16,'[3]사출실험_CYCLE TIME'!$A:$H,8,0),"")</f>
        <v/>
      </c>
      <c r="M16" t="str">
        <f>IFERROR(VLOOKUP($A16,[3]측정!$A:$BL,56,0),"")</f>
        <v/>
      </c>
      <c r="N16" t="str">
        <f>IFERROR(VLOOKUP($A16,[3]측정!$A:$BL,57,0),"")</f>
        <v/>
      </c>
      <c r="O16" t="str">
        <f>IFERROR(VLOOKUP($A16,[3]측정!$A:$BL,58,0),"")</f>
        <v/>
      </c>
      <c r="P16" t="str">
        <f>IFERROR(VLOOKUP($A16,[3]측정!$A:$BL,59,0),"")</f>
        <v/>
      </c>
      <c r="Q16" t="str">
        <f>IFERROR(VLOOKUP($A16,[3]측정!$A:$BL,60,0),"")</f>
        <v/>
      </c>
      <c r="R16" t="str">
        <f>IFERROR(VLOOKUP($A16,[3]측정!$A:$BL,61,0),"")</f>
        <v/>
      </c>
      <c r="S16" t="str">
        <f>IFERROR(VLOOKUP($A16,[3]측정!$A:$BL,62,0),"")</f>
        <v/>
      </c>
      <c r="T16" t="str">
        <f>IFERROR(VLOOKUP($A16,[3]측정!$A:$BL,63,0),"")</f>
        <v/>
      </c>
      <c r="U16" t="str">
        <f>IFERROR(VLOOKUP($A16,[3]측정!$A:$BL,64,0),"")</f>
        <v/>
      </c>
      <c r="V16" t="str">
        <f>IFERROR(VLOOKUP($A16,[3]측정!$A:$M,5,0),"")</f>
        <v/>
      </c>
      <c r="W16" t="str">
        <f>IFERROR(VLOOKUP($A16,[3]측정!$A:$M,6,0),"")</f>
        <v/>
      </c>
      <c r="X16" t="str">
        <f>IFERROR(VLOOKUP($A16,[3]측정!$A:$M,7,0),"")</f>
        <v/>
      </c>
      <c r="Y16" t="str">
        <f>IFERROR(VLOOKUP($A16,[3]측정!$A:$M,8,0),"")</f>
        <v/>
      </c>
      <c r="Z16" t="str">
        <f>IFERROR(VLOOKUP($A16,[3]측정!$A:$M,9,0),"")</f>
        <v/>
      </c>
      <c r="AA16" t="str">
        <f>IFERROR(VLOOKUP($A16,[3]측정!$A:$M,10,0),"")</f>
        <v/>
      </c>
      <c r="AB16" t="str">
        <f>IFERROR(VLOOKUP($A16,[3]측정!$A:$M,11,0),"")</f>
        <v/>
      </c>
      <c r="AC16" t="str">
        <f>IFERROR(VLOOKUP($A16,[3]측정!$A:$M,12,0),"")</f>
        <v/>
      </c>
      <c r="AD16" t="str">
        <f>IFERROR(VLOOKUP($A16,[3]측정!$A:$M,13,0),"")</f>
        <v/>
      </c>
      <c r="AE16" t="str">
        <f>IFERROR(VLOOKUP($A16,[4]측정_24H데이타!$A:$AE,5,0),"")</f>
        <v/>
      </c>
      <c r="AF16" t="str">
        <f>IFERROR(VLOOKUP($A16,[4]측정_24H데이타!$A:$AE,6,0),"")</f>
        <v/>
      </c>
      <c r="AG16" t="str">
        <f>IFERROR(VLOOKUP($A16,[4]측정_24H데이타!$A:$AE,7,0),"")</f>
        <v/>
      </c>
      <c r="AH16" t="str">
        <f>IFERROR(VLOOKUP($A16,[4]측정_24H데이타!$A:$AE,8,0),"")</f>
        <v/>
      </c>
      <c r="AI16" t="str">
        <f>IFERROR(VLOOKUP($A16,[4]측정_24H데이타!$A:$AE,9,0),"")</f>
        <v/>
      </c>
      <c r="AJ16" t="str">
        <f>IFERROR(VLOOKUP($A16,[4]측정_24H데이타!$A:$AE,10,0),"")</f>
        <v/>
      </c>
      <c r="AK16" t="str">
        <f>IFERROR(VLOOKUP($A16,[4]측정_24H데이타!$A:$AE,11,0),"")</f>
        <v/>
      </c>
      <c r="AL16" t="str">
        <f>IFERROR(VLOOKUP($A16,[4]측정_24H데이타!$A:$AE,12,0),"")</f>
        <v/>
      </c>
      <c r="AM16" t="str">
        <f>IFERROR(VLOOKUP($A16,[4]측정_24H데이타!$A:$AE,13,0),"")</f>
        <v/>
      </c>
      <c r="AN16" t="str">
        <f>IFERROR(VLOOKUP($A16,[3]측정!$A:$AD,22,0),"")</f>
        <v/>
      </c>
      <c r="AO16" t="str">
        <f>IFERROR(VLOOKUP($A16,[3]측정!$A:$AD,23,0),"")</f>
        <v/>
      </c>
      <c r="AP16" t="str">
        <f>IFERROR(VLOOKUP($A16,[3]측정!$A:$AD,24,0),"")</f>
        <v/>
      </c>
      <c r="AQ16" t="str">
        <f>IFERROR(VLOOKUP($A16,[3]측정!$A:$AD,25,0),"")</f>
        <v/>
      </c>
      <c r="AR16" t="str">
        <f>IFERROR(VLOOKUP($A16,[3]측정!$A:$AD,26,0),"")</f>
        <v/>
      </c>
      <c r="AS16" t="str">
        <f>IFERROR(VLOOKUP($A16,[3]측정!$A:$AD,27,0),"")</f>
        <v/>
      </c>
      <c r="AT16" t="str">
        <f>IFERROR(VLOOKUP($A16,[3]측정!$A:$AD,28,0),"")</f>
        <v/>
      </c>
      <c r="AU16" t="str">
        <f>IFERROR(VLOOKUP($A16,[3]측정!$A:$AD,29,0),"")</f>
        <v/>
      </c>
      <c r="AV16" t="str">
        <f>IFERROR(VLOOKUP($A16,[3]측정!$A:$AD,30,0),"")</f>
        <v/>
      </c>
      <c r="AW16" t="str">
        <f>IFERROR(VLOOKUP($A16,[4]측정_24H데이타!$A:$AE,14,0),"")</f>
        <v/>
      </c>
      <c r="AX16" t="str">
        <f>IFERROR(VLOOKUP($A16,[4]측정_24H데이타!$A:$AE,15,0),"")</f>
        <v/>
      </c>
      <c r="AY16" t="str">
        <f>IFERROR(VLOOKUP($A16,[4]측정_24H데이타!$A:$AE,16,0),"")</f>
        <v/>
      </c>
      <c r="AZ16" t="str">
        <f>IFERROR(VLOOKUP($A16,[4]측정_24H데이타!$A:$AE,17,0),"")</f>
        <v/>
      </c>
      <c r="BA16" t="str">
        <f>IFERROR(VLOOKUP($A16,[4]측정_24H데이타!$A:$AE,18,0),"")</f>
        <v/>
      </c>
      <c r="BB16" t="str">
        <f>IFERROR(VLOOKUP($A16,[4]측정_24H데이타!$A:$AE,19,0),"")</f>
        <v/>
      </c>
      <c r="BC16" t="str">
        <f>IFERROR(VLOOKUP($A16,[4]측정_24H데이타!$A:$AE,20,0),"")</f>
        <v/>
      </c>
      <c r="BD16" t="str">
        <f>IFERROR(VLOOKUP($A16,[4]측정_24H데이타!$A:$AE,21,0),"")</f>
        <v/>
      </c>
      <c r="BE16" t="str">
        <f>IFERROR(VLOOKUP($A16,[4]측정_24H데이타!$A:$AE,22,0),"")</f>
        <v/>
      </c>
      <c r="BF16" t="str">
        <f>IFERROR(VLOOKUP($A16,[3]측정!$A:$AU,39,0),"")</f>
        <v/>
      </c>
      <c r="BG16" t="str">
        <f>IFERROR(VLOOKUP($A16,[3]측정!$A:$AU,40,0),"")</f>
        <v/>
      </c>
      <c r="BH16" t="str">
        <f>IFERROR(VLOOKUP($A16,[3]측정!$A:$AU,41,0),"")</f>
        <v/>
      </c>
      <c r="BI16" t="str">
        <f>IFERROR(VLOOKUP($A16,[3]측정!$A:$AU,42,0),"")</f>
        <v/>
      </c>
      <c r="BJ16" t="str">
        <f>IFERROR(VLOOKUP($A16,[3]측정!$A:$AU,43,0),"")</f>
        <v/>
      </c>
      <c r="BK16" t="str">
        <f>IFERROR(VLOOKUP($A16,[3]측정!$A:$AU,44,0),"")</f>
        <v/>
      </c>
      <c r="BL16" t="str">
        <f>IFERROR(VLOOKUP($A16,[3]측정!$A:$AU,45,0),"")</f>
        <v/>
      </c>
      <c r="BM16" t="str">
        <f>IFERROR(VLOOKUP($A16,[3]측정!$A:$AU,46,0),"")</f>
        <v/>
      </c>
      <c r="BN16" t="str">
        <f>IFERROR(VLOOKUP($A16,[3]측정!$A:$AU,47,0),"")</f>
        <v/>
      </c>
      <c r="BO16" t="str">
        <f>IFERROR(VLOOKUP($A16,[4]측정_24H데이타!$A:$AE,23,0),"")</f>
        <v/>
      </c>
      <c r="BP16" t="str">
        <f>IFERROR(VLOOKUP($A16,[4]측정_24H데이타!$A:$AE,24,0),"")</f>
        <v/>
      </c>
      <c r="BQ16" t="str">
        <f>IFERROR(VLOOKUP($A16,[4]측정_24H데이타!$A:$AE,25,0),"")</f>
        <v/>
      </c>
      <c r="BR16" t="str">
        <f>IFERROR(VLOOKUP($A16,[4]측정_24H데이타!$A:$AE,26,0),"")</f>
        <v/>
      </c>
      <c r="BS16" t="str">
        <f>IFERROR(VLOOKUP($A16,[4]측정_24H데이타!$A:$AE,27,0),"")</f>
        <v/>
      </c>
      <c r="BT16" t="str">
        <f>IFERROR(VLOOKUP($A16,[4]측정_24H데이타!$A:$AE,28,0),"")</f>
        <v/>
      </c>
      <c r="BU16" t="str">
        <f>IFERROR(VLOOKUP($A16,[4]측정_24H데이타!$A:$AE,29,0),"")</f>
        <v/>
      </c>
      <c r="BV16" t="str">
        <f>IFERROR(VLOOKUP($A16,[4]측정_24H데이타!$A:$AE,30,0),"")</f>
        <v/>
      </c>
      <c r="BW16" t="str">
        <f>IFERROR(VLOOKUP($A16,[4]측정_24H데이타!$A:$AE,31,0),"")</f>
        <v/>
      </c>
    </row>
    <row r="17" spans="12:75">
      <c r="L17" t="str">
        <f>IFERROR(VLOOKUP($A17,'[3]사출실험_CYCLE TIME'!$A:$H,8,0),"")</f>
        <v/>
      </c>
      <c r="M17" t="str">
        <f>IFERROR(VLOOKUP($A17,[3]측정!$A:$BL,56,0),"")</f>
        <v/>
      </c>
      <c r="N17" t="str">
        <f>IFERROR(VLOOKUP($A17,[3]측정!$A:$BL,57,0),"")</f>
        <v/>
      </c>
      <c r="O17" t="str">
        <f>IFERROR(VLOOKUP($A17,[3]측정!$A:$BL,58,0),"")</f>
        <v/>
      </c>
      <c r="P17" t="str">
        <f>IFERROR(VLOOKUP($A17,[3]측정!$A:$BL,59,0),"")</f>
        <v/>
      </c>
      <c r="Q17" t="str">
        <f>IFERROR(VLOOKUP($A17,[3]측정!$A:$BL,60,0),"")</f>
        <v/>
      </c>
      <c r="R17" t="str">
        <f>IFERROR(VLOOKUP($A17,[3]측정!$A:$BL,61,0),"")</f>
        <v/>
      </c>
      <c r="S17" t="str">
        <f>IFERROR(VLOOKUP($A17,[3]측정!$A:$BL,62,0),"")</f>
        <v/>
      </c>
      <c r="T17" t="str">
        <f>IFERROR(VLOOKUP($A17,[3]측정!$A:$BL,63,0),"")</f>
        <v/>
      </c>
      <c r="U17" t="str">
        <f>IFERROR(VLOOKUP($A17,[3]측정!$A:$BL,64,0),"")</f>
        <v/>
      </c>
      <c r="V17" t="str">
        <f>IFERROR(VLOOKUP($A17,[3]측정!$A:$M,5,0),"")</f>
        <v/>
      </c>
      <c r="W17" t="str">
        <f>IFERROR(VLOOKUP($A17,[3]측정!$A:$M,6,0),"")</f>
        <v/>
      </c>
      <c r="X17" t="str">
        <f>IFERROR(VLOOKUP($A17,[3]측정!$A:$M,7,0),"")</f>
        <v/>
      </c>
      <c r="Y17" t="str">
        <f>IFERROR(VLOOKUP($A17,[3]측정!$A:$M,8,0),"")</f>
        <v/>
      </c>
      <c r="Z17" t="str">
        <f>IFERROR(VLOOKUP($A17,[3]측정!$A:$M,9,0),"")</f>
        <v/>
      </c>
      <c r="AA17" t="str">
        <f>IFERROR(VLOOKUP($A17,[3]측정!$A:$M,10,0),"")</f>
        <v/>
      </c>
      <c r="AB17" t="str">
        <f>IFERROR(VLOOKUP($A17,[3]측정!$A:$M,11,0),"")</f>
        <v/>
      </c>
      <c r="AC17" t="str">
        <f>IFERROR(VLOOKUP($A17,[3]측정!$A:$M,12,0),"")</f>
        <v/>
      </c>
      <c r="AD17" t="str">
        <f>IFERROR(VLOOKUP($A17,[3]측정!$A:$M,13,0),"")</f>
        <v/>
      </c>
      <c r="AE17" t="str">
        <f>IFERROR(VLOOKUP($A17,[4]측정_24H데이타!$A:$AE,5,0),"")</f>
        <v/>
      </c>
      <c r="AF17" t="str">
        <f>IFERROR(VLOOKUP($A17,[4]측정_24H데이타!$A:$AE,6,0),"")</f>
        <v/>
      </c>
      <c r="AG17" t="str">
        <f>IFERROR(VLOOKUP($A17,[4]측정_24H데이타!$A:$AE,7,0),"")</f>
        <v/>
      </c>
      <c r="AH17" t="str">
        <f>IFERROR(VLOOKUP($A17,[4]측정_24H데이타!$A:$AE,8,0),"")</f>
        <v/>
      </c>
      <c r="AI17" t="str">
        <f>IFERROR(VLOOKUP($A17,[4]측정_24H데이타!$A:$AE,9,0),"")</f>
        <v/>
      </c>
      <c r="AJ17" t="str">
        <f>IFERROR(VLOOKUP($A17,[4]측정_24H데이타!$A:$AE,10,0),"")</f>
        <v/>
      </c>
      <c r="AK17" t="str">
        <f>IFERROR(VLOOKUP($A17,[4]측정_24H데이타!$A:$AE,11,0),"")</f>
        <v/>
      </c>
      <c r="AL17" t="str">
        <f>IFERROR(VLOOKUP($A17,[4]측정_24H데이타!$A:$AE,12,0),"")</f>
        <v/>
      </c>
      <c r="AM17" t="str">
        <f>IFERROR(VLOOKUP($A17,[4]측정_24H데이타!$A:$AE,13,0),"")</f>
        <v/>
      </c>
      <c r="AN17" t="str">
        <f>IFERROR(VLOOKUP($A17,[3]측정!$A:$AD,22,0),"")</f>
        <v/>
      </c>
      <c r="AO17" t="str">
        <f>IFERROR(VLOOKUP($A17,[3]측정!$A:$AD,23,0),"")</f>
        <v/>
      </c>
      <c r="AP17" t="str">
        <f>IFERROR(VLOOKUP($A17,[3]측정!$A:$AD,24,0),"")</f>
        <v/>
      </c>
      <c r="AQ17" t="str">
        <f>IFERROR(VLOOKUP($A17,[3]측정!$A:$AD,25,0),"")</f>
        <v/>
      </c>
      <c r="AR17" t="str">
        <f>IFERROR(VLOOKUP($A17,[3]측정!$A:$AD,26,0),"")</f>
        <v/>
      </c>
      <c r="AS17" t="str">
        <f>IFERROR(VLOOKUP($A17,[3]측정!$A:$AD,27,0),"")</f>
        <v/>
      </c>
      <c r="AT17" t="str">
        <f>IFERROR(VLOOKUP($A17,[3]측정!$A:$AD,28,0),"")</f>
        <v/>
      </c>
      <c r="AU17" t="str">
        <f>IFERROR(VLOOKUP($A17,[3]측정!$A:$AD,29,0),"")</f>
        <v/>
      </c>
      <c r="AV17" t="str">
        <f>IFERROR(VLOOKUP($A17,[3]측정!$A:$AD,30,0),"")</f>
        <v/>
      </c>
      <c r="AW17" t="str">
        <f>IFERROR(VLOOKUP($A17,[4]측정_24H데이타!$A:$AE,14,0),"")</f>
        <v/>
      </c>
      <c r="AX17" t="str">
        <f>IFERROR(VLOOKUP($A17,[4]측정_24H데이타!$A:$AE,15,0),"")</f>
        <v/>
      </c>
      <c r="AY17" t="str">
        <f>IFERROR(VLOOKUP($A17,[4]측정_24H데이타!$A:$AE,16,0),"")</f>
        <v/>
      </c>
      <c r="AZ17" t="str">
        <f>IFERROR(VLOOKUP($A17,[4]측정_24H데이타!$A:$AE,17,0),"")</f>
        <v/>
      </c>
      <c r="BA17" t="str">
        <f>IFERROR(VLOOKUP($A17,[4]측정_24H데이타!$A:$AE,18,0),"")</f>
        <v/>
      </c>
      <c r="BB17" t="str">
        <f>IFERROR(VLOOKUP($A17,[4]측정_24H데이타!$A:$AE,19,0),"")</f>
        <v/>
      </c>
      <c r="BC17" t="str">
        <f>IFERROR(VLOOKUP($A17,[4]측정_24H데이타!$A:$AE,20,0),"")</f>
        <v/>
      </c>
      <c r="BD17" t="str">
        <f>IFERROR(VLOOKUP($A17,[4]측정_24H데이타!$A:$AE,21,0),"")</f>
        <v/>
      </c>
      <c r="BE17" t="str">
        <f>IFERROR(VLOOKUP($A17,[4]측정_24H데이타!$A:$AE,22,0),"")</f>
        <v/>
      </c>
      <c r="BF17" t="str">
        <f>IFERROR(VLOOKUP($A17,[3]측정!$A:$AU,39,0),"")</f>
        <v/>
      </c>
      <c r="BG17" t="str">
        <f>IFERROR(VLOOKUP($A17,[3]측정!$A:$AU,40,0),"")</f>
        <v/>
      </c>
      <c r="BH17" t="str">
        <f>IFERROR(VLOOKUP($A17,[3]측정!$A:$AU,41,0),"")</f>
        <v/>
      </c>
      <c r="BI17" t="str">
        <f>IFERROR(VLOOKUP($A17,[3]측정!$A:$AU,42,0),"")</f>
        <v/>
      </c>
      <c r="BJ17" t="str">
        <f>IFERROR(VLOOKUP($A17,[3]측정!$A:$AU,43,0),"")</f>
        <v/>
      </c>
      <c r="BK17" t="str">
        <f>IFERROR(VLOOKUP($A17,[3]측정!$A:$AU,44,0),"")</f>
        <v/>
      </c>
      <c r="BL17" t="str">
        <f>IFERROR(VLOOKUP($A17,[3]측정!$A:$AU,45,0),"")</f>
        <v/>
      </c>
      <c r="BM17" t="str">
        <f>IFERROR(VLOOKUP($A17,[3]측정!$A:$AU,46,0),"")</f>
        <v/>
      </c>
      <c r="BN17" t="str">
        <f>IFERROR(VLOOKUP($A17,[3]측정!$A:$AU,47,0),"")</f>
        <v/>
      </c>
      <c r="BO17" t="str">
        <f>IFERROR(VLOOKUP($A17,[4]측정_24H데이타!$A:$AE,23,0),"")</f>
        <v/>
      </c>
      <c r="BP17" t="str">
        <f>IFERROR(VLOOKUP($A17,[4]측정_24H데이타!$A:$AE,24,0),"")</f>
        <v/>
      </c>
      <c r="BQ17" t="str">
        <f>IFERROR(VLOOKUP($A17,[4]측정_24H데이타!$A:$AE,25,0),"")</f>
        <v/>
      </c>
      <c r="BR17" t="str">
        <f>IFERROR(VLOOKUP($A17,[4]측정_24H데이타!$A:$AE,26,0),"")</f>
        <v/>
      </c>
      <c r="BS17" t="str">
        <f>IFERROR(VLOOKUP($A17,[4]측정_24H데이타!$A:$AE,27,0),"")</f>
        <v/>
      </c>
      <c r="BT17" t="str">
        <f>IFERROR(VLOOKUP($A17,[4]측정_24H데이타!$A:$AE,28,0),"")</f>
        <v/>
      </c>
      <c r="BU17" t="str">
        <f>IFERROR(VLOOKUP($A17,[4]측정_24H데이타!$A:$AE,29,0),"")</f>
        <v/>
      </c>
      <c r="BV17" t="str">
        <f>IFERROR(VLOOKUP($A17,[4]측정_24H데이타!$A:$AE,30,0),"")</f>
        <v/>
      </c>
      <c r="BW17" t="str">
        <f>IFERROR(VLOOKUP($A17,[4]측정_24H데이타!$A:$AE,31,0),"")</f>
        <v/>
      </c>
    </row>
    <row r="18" spans="12:75">
      <c r="L18" t="str">
        <f>IFERROR(VLOOKUP($A18,'[3]사출실험_CYCLE TIME'!$A:$H,8,0),"")</f>
        <v/>
      </c>
      <c r="M18" t="str">
        <f>IFERROR(VLOOKUP($A18,[3]측정!$A:$BL,56,0),"")</f>
        <v/>
      </c>
      <c r="N18" t="str">
        <f>IFERROR(VLOOKUP($A18,[3]측정!$A:$BL,57,0),"")</f>
        <v/>
      </c>
      <c r="O18" t="str">
        <f>IFERROR(VLOOKUP($A18,[3]측정!$A:$BL,58,0),"")</f>
        <v/>
      </c>
      <c r="P18" t="str">
        <f>IFERROR(VLOOKUP($A18,[3]측정!$A:$BL,59,0),"")</f>
        <v/>
      </c>
      <c r="Q18" t="str">
        <f>IFERROR(VLOOKUP($A18,[3]측정!$A:$BL,60,0),"")</f>
        <v/>
      </c>
      <c r="R18" t="str">
        <f>IFERROR(VLOOKUP($A18,[3]측정!$A:$BL,61,0),"")</f>
        <v/>
      </c>
      <c r="S18" t="str">
        <f>IFERROR(VLOOKUP($A18,[3]측정!$A:$BL,62,0),"")</f>
        <v/>
      </c>
      <c r="T18" t="str">
        <f>IFERROR(VLOOKUP($A18,[3]측정!$A:$BL,63,0),"")</f>
        <v/>
      </c>
      <c r="U18" t="str">
        <f>IFERROR(VLOOKUP($A18,[3]측정!$A:$BL,64,0),"")</f>
        <v/>
      </c>
      <c r="V18" t="str">
        <f>IFERROR(VLOOKUP($A18,[3]측정!$A:$M,5,0),"")</f>
        <v/>
      </c>
      <c r="W18" t="str">
        <f>IFERROR(VLOOKUP($A18,[3]측정!$A:$M,6,0),"")</f>
        <v/>
      </c>
      <c r="X18" t="str">
        <f>IFERROR(VLOOKUP($A18,[3]측정!$A:$M,7,0),"")</f>
        <v/>
      </c>
      <c r="Y18" t="str">
        <f>IFERROR(VLOOKUP($A18,[3]측정!$A:$M,8,0),"")</f>
        <v/>
      </c>
      <c r="Z18" t="str">
        <f>IFERROR(VLOOKUP($A18,[3]측정!$A:$M,9,0),"")</f>
        <v/>
      </c>
      <c r="AA18" t="str">
        <f>IFERROR(VLOOKUP($A18,[3]측정!$A:$M,10,0),"")</f>
        <v/>
      </c>
      <c r="AB18" t="str">
        <f>IFERROR(VLOOKUP($A18,[3]측정!$A:$M,11,0),"")</f>
        <v/>
      </c>
      <c r="AC18" t="str">
        <f>IFERROR(VLOOKUP($A18,[3]측정!$A:$M,12,0),"")</f>
        <v/>
      </c>
      <c r="AD18" t="str">
        <f>IFERROR(VLOOKUP($A18,[3]측정!$A:$M,13,0),"")</f>
        <v/>
      </c>
      <c r="AE18" t="str">
        <f>IFERROR(VLOOKUP($A18,[4]측정_24H데이타!$A:$AE,5,0),"")</f>
        <v/>
      </c>
      <c r="AF18" t="str">
        <f>IFERROR(VLOOKUP($A18,[4]측정_24H데이타!$A:$AE,6,0),"")</f>
        <v/>
      </c>
      <c r="AG18" t="str">
        <f>IFERROR(VLOOKUP($A18,[4]측정_24H데이타!$A:$AE,7,0),"")</f>
        <v/>
      </c>
      <c r="AH18" t="str">
        <f>IFERROR(VLOOKUP($A18,[4]측정_24H데이타!$A:$AE,8,0),"")</f>
        <v/>
      </c>
      <c r="AI18" t="str">
        <f>IFERROR(VLOOKUP($A18,[4]측정_24H데이타!$A:$AE,9,0),"")</f>
        <v/>
      </c>
      <c r="AJ18" t="str">
        <f>IFERROR(VLOOKUP($A18,[4]측정_24H데이타!$A:$AE,10,0),"")</f>
        <v/>
      </c>
      <c r="AK18" t="str">
        <f>IFERROR(VLOOKUP($A18,[4]측정_24H데이타!$A:$AE,11,0),"")</f>
        <v/>
      </c>
      <c r="AL18" t="str">
        <f>IFERROR(VLOOKUP($A18,[4]측정_24H데이타!$A:$AE,12,0),"")</f>
        <v/>
      </c>
      <c r="AM18" t="str">
        <f>IFERROR(VLOOKUP($A18,[4]측정_24H데이타!$A:$AE,13,0),"")</f>
        <v/>
      </c>
      <c r="AN18" t="str">
        <f>IFERROR(VLOOKUP($A18,[3]측정!$A:$AD,22,0),"")</f>
        <v/>
      </c>
      <c r="AO18" t="str">
        <f>IFERROR(VLOOKUP($A18,[3]측정!$A:$AD,23,0),"")</f>
        <v/>
      </c>
      <c r="AP18" t="str">
        <f>IFERROR(VLOOKUP($A18,[3]측정!$A:$AD,24,0),"")</f>
        <v/>
      </c>
      <c r="AQ18" t="str">
        <f>IFERROR(VLOOKUP($A18,[3]측정!$A:$AD,25,0),"")</f>
        <v/>
      </c>
      <c r="AR18" t="str">
        <f>IFERROR(VLOOKUP($A18,[3]측정!$A:$AD,26,0),"")</f>
        <v/>
      </c>
      <c r="AS18" t="str">
        <f>IFERROR(VLOOKUP($A18,[3]측정!$A:$AD,27,0),"")</f>
        <v/>
      </c>
      <c r="AT18" t="str">
        <f>IFERROR(VLOOKUP($A18,[3]측정!$A:$AD,28,0),"")</f>
        <v/>
      </c>
      <c r="AU18" t="str">
        <f>IFERROR(VLOOKUP($A18,[3]측정!$A:$AD,29,0),"")</f>
        <v/>
      </c>
      <c r="AV18" t="str">
        <f>IFERROR(VLOOKUP($A18,[3]측정!$A:$AD,30,0),"")</f>
        <v/>
      </c>
      <c r="AW18" t="str">
        <f>IFERROR(VLOOKUP($A18,[4]측정_24H데이타!$A:$AE,14,0),"")</f>
        <v/>
      </c>
      <c r="AX18" t="str">
        <f>IFERROR(VLOOKUP($A18,[4]측정_24H데이타!$A:$AE,15,0),"")</f>
        <v/>
      </c>
      <c r="AY18" t="str">
        <f>IFERROR(VLOOKUP($A18,[4]측정_24H데이타!$A:$AE,16,0),"")</f>
        <v/>
      </c>
      <c r="AZ18" t="str">
        <f>IFERROR(VLOOKUP($A18,[4]측정_24H데이타!$A:$AE,17,0),"")</f>
        <v/>
      </c>
      <c r="BA18" t="str">
        <f>IFERROR(VLOOKUP($A18,[4]측정_24H데이타!$A:$AE,18,0),"")</f>
        <v/>
      </c>
      <c r="BB18" t="str">
        <f>IFERROR(VLOOKUP($A18,[4]측정_24H데이타!$A:$AE,19,0),"")</f>
        <v/>
      </c>
      <c r="BC18" t="str">
        <f>IFERROR(VLOOKUP($A18,[4]측정_24H데이타!$A:$AE,20,0),"")</f>
        <v/>
      </c>
      <c r="BD18" t="str">
        <f>IFERROR(VLOOKUP($A18,[4]측정_24H데이타!$A:$AE,21,0),"")</f>
        <v/>
      </c>
      <c r="BE18" t="str">
        <f>IFERROR(VLOOKUP($A18,[4]측정_24H데이타!$A:$AE,22,0),"")</f>
        <v/>
      </c>
      <c r="BF18" t="str">
        <f>IFERROR(VLOOKUP($A18,[3]측정!$A:$AU,39,0),"")</f>
        <v/>
      </c>
      <c r="BG18" t="str">
        <f>IFERROR(VLOOKUP($A18,[3]측정!$A:$AU,40,0),"")</f>
        <v/>
      </c>
      <c r="BH18" t="str">
        <f>IFERROR(VLOOKUP($A18,[3]측정!$A:$AU,41,0),"")</f>
        <v/>
      </c>
      <c r="BI18" t="str">
        <f>IFERROR(VLOOKUP($A18,[3]측정!$A:$AU,42,0),"")</f>
        <v/>
      </c>
      <c r="BJ18" t="str">
        <f>IFERROR(VLOOKUP($A18,[3]측정!$A:$AU,43,0),"")</f>
        <v/>
      </c>
      <c r="BK18" t="str">
        <f>IFERROR(VLOOKUP($A18,[3]측정!$A:$AU,44,0),"")</f>
        <v/>
      </c>
      <c r="BL18" t="str">
        <f>IFERROR(VLOOKUP($A18,[3]측정!$A:$AU,45,0),"")</f>
        <v/>
      </c>
      <c r="BM18" t="str">
        <f>IFERROR(VLOOKUP($A18,[3]측정!$A:$AU,46,0),"")</f>
        <v/>
      </c>
      <c r="BN18" t="str">
        <f>IFERROR(VLOOKUP($A18,[3]측정!$A:$AU,47,0),"")</f>
        <v/>
      </c>
      <c r="BO18" t="str">
        <f>IFERROR(VLOOKUP($A18,[4]측정_24H데이타!$A:$AE,23,0),"")</f>
        <v/>
      </c>
      <c r="BP18" t="str">
        <f>IFERROR(VLOOKUP($A18,[4]측정_24H데이타!$A:$AE,24,0),"")</f>
        <v/>
      </c>
      <c r="BQ18" t="str">
        <f>IFERROR(VLOOKUP($A18,[4]측정_24H데이타!$A:$AE,25,0),"")</f>
        <v/>
      </c>
      <c r="BR18" t="str">
        <f>IFERROR(VLOOKUP($A18,[4]측정_24H데이타!$A:$AE,26,0),"")</f>
        <v/>
      </c>
      <c r="BS18" t="str">
        <f>IFERROR(VLOOKUP($A18,[4]측정_24H데이타!$A:$AE,27,0),"")</f>
        <v/>
      </c>
      <c r="BT18" t="str">
        <f>IFERROR(VLOOKUP($A18,[4]측정_24H데이타!$A:$AE,28,0),"")</f>
        <v/>
      </c>
      <c r="BU18" t="str">
        <f>IFERROR(VLOOKUP($A18,[4]측정_24H데이타!$A:$AE,29,0),"")</f>
        <v/>
      </c>
      <c r="BV18" t="str">
        <f>IFERROR(VLOOKUP($A18,[4]측정_24H데이타!$A:$AE,30,0),"")</f>
        <v/>
      </c>
      <c r="BW18" t="str">
        <f>IFERROR(VLOOKUP($A18,[4]측정_24H데이타!$A:$AE,31,0),"")</f>
        <v/>
      </c>
    </row>
    <row r="19" spans="12:75">
      <c r="L19" t="str">
        <f>IFERROR(VLOOKUP($A19,'[3]사출실험_CYCLE TIME'!$A:$H,8,0),"")</f>
        <v/>
      </c>
      <c r="M19" t="str">
        <f>IFERROR(VLOOKUP($A19,[3]측정!$A:$BL,56,0),"")</f>
        <v/>
      </c>
      <c r="N19" t="str">
        <f>IFERROR(VLOOKUP($A19,[3]측정!$A:$BL,57,0),"")</f>
        <v/>
      </c>
      <c r="O19" t="str">
        <f>IFERROR(VLOOKUP($A19,[3]측정!$A:$BL,58,0),"")</f>
        <v/>
      </c>
      <c r="P19" t="str">
        <f>IFERROR(VLOOKUP($A19,[3]측정!$A:$BL,59,0),"")</f>
        <v/>
      </c>
      <c r="Q19" t="str">
        <f>IFERROR(VLOOKUP($A19,[3]측정!$A:$BL,60,0),"")</f>
        <v/>
      </c>
      <c r="R19" t="str">
        <f>IFERROR(VLOOKUP($A19,[3]측정!$A:$BL,61,0),"")</f>
        <v/>
      </c>
      <c r="S19" t="str">
        <f>IFERROR(VLOOKUP($A19,[3]측정!$A:$BL,62,0),"")</f>
        <v/>
      </c>
      <c r="T19" t="str">
        <f>IFERROR(VLOOKUP($A19,[3]측정!$A:$BL,63,0),"")</f>
        <v/>
      </c>
      <c r="U19" t="str">
        <f>IFERROR(VLOOKUP($A19,[3]측정!$A:$BL,64,0),"")</f>
        <v/>
      </c>
      <c r="V19" t="str">
        <f>IFERROR(VLOOKUP($A19,[3]측정!$A:$M,5,0),"")</f>
        <v/>
      </c>
      <c r="W19" t="str">
        <f>IFERROR(VLOOKUP($A19,[3]측정!$A:$M,6,0),"")</f>
        <v/>
      </c>
      <c r="X19" t="str">
        <f>IFERROR(VLOOKUP($A19,[3]측정!$A:$M,7,0),"")</f>
        <v/>
      </c>
      <c r="Y19" t="str">
        <f>IFERROR(VLOOKUP($A19,[3]측정!$A:$M,8,0),"")</f>
        <v/>
      </c>
      <c r="Z19" t="str">
        <f>IFERROR(VLOOKUP($A19,[3]측정!$A:$M,9,0),"")</f>
        <v/>
      </c>
      <c r="AA19" t="str">
        <f>IFERROR(VLOOKUP($A19,[3]측정!$A:$M,10,0),"")</f>
        <v/>
      </c>
      <c r="AB19" t="str">
        <f>IFERROR(VLOOKUP($A19,[3]측정!$A:$M,11,0),"")</f>
        <v/>
      </c>
      <c r="AC19" t="str">
        <f>IFERROR(VLOOKUP($A19,[3]측정!$A:$M,12,0),"")</f>
        <v/>
      </c>
      <c r="AD19" t="str">
        <f>IFERROR(VLOOKUP($A19,[3]측정!$A:$M,13,0),"")</f>
        <v/>
      </c>
      <c r="AE19" t="str">
        <f>IFERROR(VLOOKUP($A19,[4]측정_24H데이타!$A:$AE,5,0),"")</f>
        <v/>
      </c>
      <c r="AF19" t="str">
        <f>IFERROR(VLOOKUP($A19,[4]측정_24H데이타!$A:$AE,6,0),"")</f>
        <v/>
      </c>
      <c r="AG19" t="str">
        <f>IFERROR(VLOOKUP($A19,[4]측정_24H데이타!$A:$AE,7,0),"")</f>
        <v/>
      </c>
      <c r="AH19" t="str">
        <f>IFERROR(VLOOKUP($A19,[4]측정_24H데이타!$A:$AE,8,0),"")</f>
        <v/>
      </c>
      <c r="AI19" t="str">
        <f>IFERROR(VLOOKUP($A19,[4]측정_24H데이타!$A:$AE,9,0),"")</f>
        <v/>
      </c>
      <c r="AJ19" t="str">
        <f>IFERROR(VLOOKUP($A19,[4]측정_24H데이타!$A:$AE,10,0),"")</f>
        <v/>
      </c>
      <c r="AK19" t="str">
        <f>IFERROR(VLOOKUP($A19,[4]측정_24H데이타!$A:$AE,11,0),"")</f>
        <v/>
      </c>
      <c r="AL19" t="str">
        <f>IFERROR(VLOOKUP($A19,[4]측정_24H데이타!$A:$AE,12,0),"")</f>
        <v/>
      </c>
      <c r="AM19" t="str">
        <f>IFERROR(VLOOKUP($A19,[4]측정_24H데이타!$A:$AE,13,0),"")</f>
        <v/>
      </c>
      <c r="AN19" t="str">
        <f>IFERROR(VLOOKUP($A19,[3]측정!$A:$AD,22,0),"")</f>
        <v/>
      </c>
      <c r="AO19" t="str">
        <f>IFERROR(VLOOKUP($A19,[3]측정!$A:$AD,23,0),"")</f>
        <v/>
      </c>
      <c r="AP19" t="str">
        <f>IFERROR(VLOOKUP($A19,[3]측정!$A:$AD,24,0),"")</f>
        <v/>
      </c>
      <c r="AQ19" t="str">
        <f>IFERROR(VLOOKUP($A19,[3]측정!$A:$AD,25,0),"")</f>
        <v/>
      </c>
      <c r="AR19" t="str">
        <f>IFERROR(VLOOKUP($A19,[3]측정!$A:$AD,26,0),"")</f>
        <v/>
      </c>
      <c r="AS19" t="str">
        <f>IFERROR(VLOOKUP($A19,[3]측정!$A:$AD,27,0),"")</f>
        <v/>
      </c>
      <c r="AT19" t="str">
        <f>IFERROR(VLOOKUP($A19,[3]측정!$A:$AD,28,0),"")</f>
        <v/>
      </c>
      <c r="AU19" t="str">
        <f>IFERROR(VLOOKUP($A19,[3]측정!$A:$AD,29,0),"")</f>
        <v/>
      </c>
      <c r="AV19" t="str">
        <f>IFERROR(VLOOKUP($A19,[3]측정!$A:$AD,30,0),"")</f>
        <v/>
      </c>
      <c r="AW19" t="str">
        <f>IFERROR(VLOOKUP($A19,[4]측정_24H데이타!$A:$AE,14,0),"")</f>
        <v/>
      </c>
      <c r="AX19" t="str">
        <f>IFERROR(VLOOKUP($A19,[4]측정_24H데이타!$A:$AE,15,0),"")</f>
        <v/>
      </c>
      <c r="AY19" t="str">
        <f>IFERROR(VLOOKUP($A19,[4]측정_24H데이타!$A:$AE,16,0),"")</f>
        <v/>
      </c>
      <c r="AZ19" t="str">
        <f>IFERROR(VLOOKUP($A19,[4]측정_24H데이타!$A:$AE,17,0),"")</f>
        <v/>
      </c>
      <c r="BA19" t="str">
        <f>IFERROR(VLOOKUP($A19,[4]측정_24H데이타!$A:$AE,18,0),"")</f>
        <v/>
      </c>
      <c r="BB19" t="str">
        <f>IFERROR(VLOOKUP($A19,[4]측정_24H데이타!$A:$AE,19,0),"")</f>
        <v/>
      </c>
      <c r="BC19" t="str">
        <f>IFERROR(VLOOKUP($A19,[4]측정_24H데이타!$A:$AE,20,0),"")</f>
        <v/>
      </c>
      <c r="BD19" t="str">
        <f>IFERROR(VLOOKUP($A19,[4]측정_24H데이타!$A:$AE,21,0),"")</f>
        <v/>
      </c>
      <c r="BE19" t="str">
        <f>IFERROR(VLOOKUP($A19,[4]측정_24H데이타!$A:$AE,22,0),"")</f>
        <v/>
      </c>
      <c r="BF19" t="str">
        <f>IFERROR(VLOOKUP($A19,[3]측정!$A:$AU,39,0),"")</f>
        <v/>
      </c>
      <c r="BG19" t="str">
        <f>IFERROR(VLOOKUP($A19,[3]측정!$A:$AU,40,0),"")</f>
        <v/>
      </c>
      <c r="BH19" t="str">
        <f>IFERROR(VLOOKUP($A19,[3]측정!$A:$AU,41,0),"")</f>
        <v/>
      </c>
      <c r="BI19" t="str">
        <f>IFERROR(VLOOKUP($A19,[3]측정!$A:$AU,42,0),"")</f>
        <v/>
      </c>
      <c r="BJ19" t="str">
        <f>IFERROR(VLOOKUP($A19,[3]측정!$A:$AU,43,0),"")</f>
        <v/>
      </c>
      <c r="BK19" t="str">
        <f>IFERROR(VLOOKUP($A19,[3]측정!$A:$AU,44,0),"")</f>
        <v/>
      </c>
      <c r="BL19" t="str">
        <f>IFERROR(VLOOKUP($A19,[3]측정!$A:$AU,45,0),"")</f>
        <v/>
      </c>
      <c r="BM19" t="str">
        <f>IFERROR(VLOOKUP($A19,[3]측정!$A:$AU,46,0),"")</f>
        <v/>
      </c>
      <c r="BN19" t="str">
        <f>IFERROR(VLOOKUP($A19,[3]측정!$A:$AU,47,0),"")</f>
        <v/>
      </c>
      <c r="BO19" t="str">
        <f>IFERROR(VLOOKUP($A19,[4]측정_24H데이타!$A:$AE,23,0),"")</f>
        <v/>
      </c>
      <c r="BP19" t="str">
        <f>IFERROR(VLOOKUP($A19,[4]측정_24H데이타!$A:$AE,24,0),"")</f>
        <v/>
      </c>
      <c r="BQ19" t="str">
        <f>IFERROR(VLOOKUP($A19,[4]측정_24H데이타!$A:$AE,25,0),"")</f>
        <v/>
      </c>
      <c r="BR19" t="str">
        <f>IFERROR(VLOOKUP($A19,[4]측정_24H데이타!$A:$AE,26,0),"")</f>
        <v/>
      </c>
      <c r="BS19" t="str">
        <f>IFERROR(VLOOKUP($A19,[4]측정_24H데이타!$A:$AE,27,0),"")</f>
        <v/>
      </c>
      <c r="BT19" t="str">
        <f>IFERROR(VLOOKUP($A19,[4]측정_24H데이타!$A:$AE,28,0),"")</f>
        <v/>
      </c>
      <c r="BU19" t="str">
        <f>IFERROR(VLOOKUP($A19,[4]측정_24H데이타!$A:$AE,29,0),"")</f>
        <v/>
      </c>
      <c r="BV19" t="str">
        <f>IFERROR(VLOOKUP($A19,[4]측정_24H데이타!$A:$AE,30,0),"")</f>
        <v/>
      </c>
      <c r="BW19" t="str">
        <f>IFERROR(VLOOKUP($A19,[4]측정_24H데이타!$A:$AE,31,0),"")</f>
        <v/>
      </c>
    </row>
    <row r="20" spans="12:75">
      <c r="L20" t="str">
        <f>IFERROR(VLOOKUP($A20,'[3]사출실험_CYCLE TIME'!$A:$H,8,0),"")</f>
        <v/>
      </c>
      <c r="M20" t="str">
        <f>IFERROR(VLOOKUP($A20,[3]측정!$A:$BL,56,0),"")</f>
        <v/>
      </c>
      <c r="N20" t="str">
        <f>IFERROR(VLOOKUP($A20,[3]측정!$A:$BL,57,0),"")</f>
        <v/>
      </c>
      <c r="O20" t="str">
        <f>IFERROR(VLOOKUP($A20,[3]측정!$A:$BL,58,0),"")</f>
        <v/>
      </c>
      <c r="P20" t="str">
        <f>IFERROR(VLOOKUP($A20,[3]측정!$A:$BL,59,0),"")</f>
        <v/>
      </c>
      <c r="Q20" t="str">
        <f>IFERROR(VLOOKUP($A20,[3]측정!$A:$BL,60,0),"")</f>
        <v/>
      </c>
      <c r="R20" t="str">
        <f>IFERROR(VLOOKUP($A20,[3]측정!$A:$BL,61,0),"")</f>
        <v/>
      </c>
      <c r="S20" t="str">
        <f>IFERROR(VLOOKUP($A20,[3]측정!$A:$BL,62,0),"")</f>
        <v/>
      </c>
      <c r="T20" t="str">
        <f>IFERROR(VLOOKUP($A20,[3]측정!$A:$BL,63,0),"")</f>
        <v/>
      </c>
      <c r="U20" t="str">
        <f>IFERROR(VLOOKUP($A20,[3]측정!$A:$BL,64,0),"")</f>
        <v/>
      </c>
      <c r="V20" t="str">
        <f>IFERROR(VLOOKUP($A20,[3]측정!$A:$M,5,0),"")</f>
        <v/>
      </c>
      <c r="W20" t="str">
        <f>IFERROR(VLOOKUP($A20,[3]측정!$A:$M,6,0),"")</f>
        <v/>
      </c>
      <c r="X20" t="str">
        <f>IFERROR(VLOOKUP($A20,[3]측정!$A:$M,7,0),"")</f>
        <v/>
      </c>
      <c r="Y20" t="str">
        <f>IFERROR(VLOOKUP($A20,[3]측정!$A:$M,8,0),"")</f>
        <v/>
      </c>
      <c r="Z20" t="str">
        <f>IFERROR(VLOOKUP($A20,[3]측정!$A:$M,9,0),"")</f>
        <v/>
      </c>
      <c r="AA20" t="str">
        <f>IFERROR(VLOOKUP($A20,[3]측정!$A:$M,10,0),"")</f>
        <v/>
      </c>
      <c r="AB20" t="str">
        <f>IFERROR(VLOOKUP($A20,[3]측정!$A:$M,11,0),"")</f>
        <v/>
      </c>
      <c r="AC20" t="str">
        <f>IFERROR(VLOOKUP($A20,[3]측정!$A:$M,12,0),"")</f>
        <v/>
      </c>
      <c r="AD20" t="str">
        <f>IFERROR(VLOOKUP($A20,[3]측정!$A:$M,13,0),"")</f>
        <v/>
      </c>
      <c r="AE20" t="str">
        <f>IFERROR(VLOOKUP($A20,[4]측정_24H데이타!$A:$AE,5,0),"")</f>
        <v/>
      </c>
      <c r="AF20" t="str">
        <f>IFERROR(VLOOKUP($A20,[4]측정_24H데이타!$A:$AE,6,0),"")</f>
        <v/>
      </c>
      <c r="AG20" t="str">
        <f>IFERROR(VLOOKUP($A20,[4]측정_24H데이타!$A:$AE,7,0),"")</f>
        <v/>
      </c>
      <c r="AH20" t="str">
        <f>IFERROR(VLOOKUP($A20,[4]측정_24H데이타!$A:$AE,8,0),"")</f>
        <v/>
      </c>
      <c r="AI20" t="str">
        <f>IFERROR(VLOOKUP($A20,[4]측정_24H데이타!$A:$AE,9,0),"")</f>
        <v/>
      </c>
      <c r="AJ20" t="str">
        <f>IFERROR(VLOOKUP($A20,[4]측정_24H데이타!$A:$AE,10,0),"")</f>
        <v/>
      </c>
      <c r="AK20" t="str">
        <f>IFERROR(VLOOKUP($A20,[4]측정_24H데이타!$A:$AE,11,0),"")</f>
        <v/>
      </c>
      <c r="AL20" t="str">
        <f>IFERROR(VLOOKUP($A20,[4]측정_24H데이타!$A:$AE,12,0),"")</f>
        <v/>
      </c>
      <c r="AM20" t="str">
        <f>IFERROR(VLOOKUP($A20,[4]측정_24H데이타!$A:$AE,13,0),"")</f>
        <v/>
      </c>
      <c r="AN20" t="str">
        <f>IFERROR(VLOOKUP($A20,[3]측정!$A:$AD,22,0),"")</f>
        <v/>
      </c>
      <c r="AO20" t="str">
        <f>IFERROR(VLOOKUP($A20,[3]측정!$A:$AD,23,0),"")</f>
        <v/>
      </c>
      <c r="AP20" t="str">
        <f>IFERROR(VLOOKUP($A20,[3]측정!$A:$AD,24,0),"")</f>
        <v/>
      </c>
      <c r="AQ20" t="str">
        <f>IFERROR(VLOOKUP($A20,[3]측정!$A:$AD,25,0),"")</f>
        <v/>
      </c>
      <c r="AR20" t="str">
        <f>IFERROR(VLOOKUP($A20,[3]측정!$A:$AD,26,0),"")</f>
        <v/>
      </c>
      <c r="AS20" t="str">
        <f>IFERROR(VLOOKUP($A20,[3]측정!$A:$AD,27,0),"")</f>
        <v/>
      </c>
      <c r="AT20" t="str">
        <f>IFERROR(VLOOKUP($A20,[3]측정!$A:$AD,28,0),"")</f>
        <v/>
      </c>
      <c r="AU20" t="str">
        <f>IFERROR(VLOOKUP($A20,[3]측정!$A:$AD,29,0),"")</f>
        <v/>
      </c>
      <c r="AV20" t="str">
        <f>IFERROR(VLOOKUP($A20,[3]측정!$A:$AD,30,0),"")</f>
        <v/>
      </c>
      <c r="AW20" t="str">
        <f>IFERROR(VLOOKUP($A20,[4]측정_24H데이타!$A:$AE,14,0),"")</f>
        <v/>
      </c>
      <c r="AX20" t="str">
        <f>IFERROR(VLOOKUP($A20,[4]측정_24H데이타!$A:$AE,15,0),"")</f>
        <v/>
      </c>
      <c r="AY20" t="str">
        <f>IFERROR(VLOOKUP($A20,[4]측정_24H데이타!$A:$AE,16,0),"")</f>
        <v/>
      </c>
      <c r="AZ20" t="str">
        <f>IFERROR(VLOOKUP($A20,[4]측정_24H데이타!$A:$AE,17,0),"")</f>
        <v/>
      </c>
      <c r="BA20" t="str">
        <f>IFERROR(VLOOKUP($A20,[4]측정_24H데이타!$A:$AE,18,0),"")</f>
        <v/>
      </c>
      <c r="BB20" t="str">
        <f>IFERROR(VLOOKUP($A20,[4]측정_24H데이타!$A:$AE,19,0),"")</f>
        <v/>
      </c>
      <c r="BC20" t="str">
        <f>IFERROR(VLOOKUP($A20,[4]측정_24H데이타!$A:$AE,20,0),"")</f>
        <v/>
      </c>
      <c r="BD20" t="str">
        <f>IFERROR(VLOOKUP($A20,[4]측정_24H데이타!$A:$AE,21,0),"")</f>
        <v/>
      </c>
      <c r="BE20" t="str">
        <f>IFERROR(VLOOKUP($A20,[4]측정_24H데이타!$A:$AE,22,0),"")</f>
        <v/>
      </c>
      <c r="BF20" t="str">
        <f>IFERROR(VLOOKUP($A20,[3]측정!$A:$AU,39,0),"")</f>
        <v/>
      </c>
      <c r="BG20" t="str">
        <f>IFERROR(VLOOKUP($A20,[3]측정!$A:$AU,40,0),"")</f>
        <v/>
      </c>
      <c r="BH20" t="str">
        <f>IFERROR(VLOOKUP($A20,[3]측정!$A:$AU,41,0),"")</f>
        <v/>
      </c>
      <c r="BI20" t="str">
        <f>IFERROR(VLOOKUP($A20,[3]측정!$A:$AU,42,0),"")</f>
        <v/>
      </c>
      <c r="BJ20" t="str">
        <f>IFERROR(VLOOKUP($A20,[3]측정!$A:$AU,43,0),"")</f>
        <v/>
      </c>
      <c r="BK20" t="str">
        <f>IFERROR(VLOOKUP($A20,[3]측정!$A:$AU,44,0),"")</f>
        <v/>
      </c>
      <c r="BL20" t="str">
        <f>IFERROR(VLOOKUP($A20,[3]측정!$A:$AU,45,0),"")</f>
        <v/>
      </c>
      <c r="BM20" t="str">
        <f>IFERROR(VLOOKUP($A20,[3]측정!$A:$AU,46,0),"")</f>
        <v/>
      </c>
      <c r="BN20" t="str">
        <f>IFERROR(VLOOKUP($A20,[3]측정!$A:$AU,47,0),"")</f>
        <v/>
      </c>
      <c r="BO20" t="str">
        <f>IFERROR(VLOOKUP($A20,[4]측정_24H데이타!$A:$AE,23,0),"")</f>
        <v/>
      </c>
      <c r="BP20" t="str">
        <f>IFERROR(VLOOKUP($A20,[4]측정_24H데이타!$A:$AE,24,0),"")</f>
        <v/>
      </c>
      <c r="BQ20" t="str">
        <f>IFERROR(VLOOKUP($A20,[4]측정_24H데이타!$A:$AE,25,0),"")</f>
        <v/>
      </c>
      <c r="BR20" t="str">
        <f>IFERROR(VLOOKUP($A20,[4]측정_24H데이타!$A:$AE,26,0),"")</f>
        <v/>
      </c>
      <c r="BS20" t="str">
        <f>IFERROR(VLOOKUP($A20,[4]측정_24H데이타!$A:$AE,27,0),"")</f>
        <v/>
      </c>
      <c r="BT20" t="str">
        <f>IFERROR(VLOOKUP($A20,[4]측정_24H데이타!$A:$AE,28,0),"")</f>
        <v/>
      </c>
      <c r="BU20" t="str">
        <f>IFERROR(VLOOKUP($A20,[4]측정_24H데이타!$A:$AE,29,0),"")</f>
        <v/>
      </c>
      <c r="BV20" t="str">
        <f>IFERROR(VLOOKUP($A20,[4]측정_24H데이타!$A:$AE,30,0),"")</f>
        <v/>
      </c>
      <c r="BW20" t="str">
        <f>IFERROR(VLOOKUP($A20,[4]측정_24H데이타!$A:$AE,31,0),"")</f>
        <v/>
      </c>
    </row>
    <row r="21" spans="12:75">
      <c r="L21" t="str">
        <f>IFERROR(VLOOKUP($A21,'[3]사출실험_CYCLE TIME'!$A:$H,8,0),"")</f>
        <v/>
      </c>
      <c r="M21" t="str">
        <f>IFERROR(VLOOKUP($A21,[3]측정!$A:$BL,56,0),"")</f>
        <v/>
      </c>
      <c r="N21" t="str">
        <f>IFERROR(VLOOKUP($A21,[3]측정!$A:$BL,57,0),"")</f>
        <v/>
      </c>
      <c r="O21" t="str">
        <f>IFERROR(VLOOKUP($A21,[3]측정!$A:$BL,58,0),"")</f>
        <v/>
      </c>
      <c r="P21" t="str">
        <f>IFERROR(VLOOKUP($A21,[3]측정!$A:$BL,59,0),"")</f>
        <v/>
      </c>
      <c r="Q21" t="str">
        <f>IFERROR(VLOOKUP($A21,[3]측정!$A:$BL,60,0),"")</f>
        <v/>
      </c>
      <c r="R21" t="str">
        <f>IFERROR(VLOOKUP($A21,[3]측정!$A:$BL,61,0),"")</f>
        <v/>
      </c>
      <c r="S21" t="str">
        <f>IFERROR(VLOOKUP($A21,[3]측정!$A:$BL,62,0),"")</f>
        <v/>
      </c>
      <c r="T21" t="str">
        <f>IFERROR(VLOOKUP($A21,[3]측정!$A:$BL,63,0),"")</f>
        <v/>
      </c>
      <c r="U21" t="str">
        <f>IFERROR(VLOOKUP($A21,[3]측정!$A:$BL,64,0),"")</f>
        <v/>
      </c>
      <c r="V21" t="str">
        <f>IFERROR(VLOOKUP($A21,[3]측정!$A:$M,5,0),"")</f>
        <v/>
      </c>
      <c r="W21" t="str">
        <f>IFERROR(VLOOKUP($A21,[3]측정!$A:$M,6,0),"")</f>
        <v/>
      </c>
      <c r="X21" t="str">
        <f>IFERROR(VLOOKUP($A21,[3]측정!$A:$M,7,0),"")</f>
        <v/>
      </c>
      <c r="Y21" t="str">
        <f>IFERROR(VLOOKUP($A21,[3]측정!$A:$M,8,0),"")</f>
        <v/>
      </c>
      <c r="Z21" t="str">
        <f>IFERROR(VLOOKUP($A21,[3]측정!$A:$M,9,0),"")</f>
        <v/>
      </c>
      <c r="AA21" t="str">
        <f>IFERROR(VLOOKUP($A21,[3]측정!$A:$M,10,0),"")</f>
        <v/>
      </c>
      <c r="AB21" t="str">
        <f>IFERROR(VLOOKUP($A21,[3]측정!$A:$M,11,0),"")</f>
        <v/>
      </c>
      <c r="AC21" t="str">
        <f>IFERROR(VLOOKUP($A21,[3]측정!$A:$M,12,0),"")</f>
        <v/>
      </c>
      <c r="AD21" t="str">
        <f>IFERROR(VLOOKUP($A21,[3]측정!$A:$M,13,0),"")</f>
        <v/>
      </c>
      <c r="AE21" t="str">
        <f>IFERROR(VLOOKUP($A21,[4]측정_24H데이타!$A:$AE,5,0),"")</f>
        <v/>
      </c>
      <c r="AF21" t="str">
        <f>IFERROR(VLOOKUP($A21,[4]측정_24H데이타!$A:$AE,6,0),"")</f>
        <v/>
      </c>
      <c r="AG21" t="str">
        <f>IFERROR(VLOOKUP($A21,[4]측정_24H데이타!$A:$AE,7,0),"")</f>
        <v/>
      </c>
      <c r="AH21" t="str">
        <f>IFERROR(VLOOKUP($A21,[4]측정_24H데이타!$A:$AE,8,0),"")</f>
        <v/>
      </c>
      <c r="AI21" t="str">
        <f>IFERROR(VLOOKUP($A21,[4]측정_24H데이타!$A:$AE,9,0),"")</f>
        <v/>
      </c>
      <c r="AJ21" t="str">
        <f>IFERROR(VLOOKUP($A21,[4]측정_24H데이타!$A:$AE,10,0),"")</f>
        <v/>
      </c>
      <c r="AK21" t="str">
        <f>IFERROR(VLOOKUP($A21,[4]측정_24H데이타!$A:$AE,11,0),"")</f>
        <v/>
      </c>
      <c r="AL21" t="str">
        <f>IFERROR(VLOOKUP($A21,[4]측정_24H데이타!$A:$AE,12,0),"")</f>
        <v/>
      </c>
      <c r="AM21" t="str">
        <f>IFERROR(VLOOKUP($A21,[4]측정_24H데이타!$A:$AE,13,0),"")</f>
        <v/>
      </c>
      <c r="AN21" t="str">
        <f>IFERROR(VLOOKUP($A21,[3]측정!$A:$AD,22,0),"")</f>
        <v/>
      </c>
      <c r="AO21" t="str">
        <f>IFERROR(VLOOKUP($A21,[3]측정!$A:$AD,23,0),"")</f>
        <v/>
      </c>
      <c r="AP21" t="str">
        <f>IFERROR(VLOOKUP($A21,[3]측정!$A:$AD,24,0),"")</f>
        <v/>
      </c>
      <c r="AQ21" t="str">
        <f>IFERROR(VLOOKUP($A21,[3]측정!$A:$AD,25,0),"")</f>
        <v/>
      </c>
      <c r="AR21" t="str">
        <f>IFERROR(VLOOKUP($A21,[3]측정!$A:$AD,26,0),"")</f>
        <v/>
      </c>
      <c r="AS21" t="str">
        <f>IFERROR(VLOOKUP($A21,[3]측정!$A:$AD,27,0),"")</f>
        <v/>
      </c>
      <c r="AT21" t="str">
        <f>IFERROR(VLOOKUP($A21,[3]측정!$A:$AD,28,0),"")</f>
        <v/>
      </c>
      <c r="AU21" t="str">
        <f>IFERROR(VLOOKUP($A21,[3]측정!$A:$AD,29,0),"")</f>
        <v/>
      </c>
      <c r="AV21" t="str">
        <f>IFERROR(VLOOKUP($A21,[3]측정!$A:$AD,30,0),"")</f>
        <v/>
      </c>
      <c r="AW21" t="str">
        <f>IFERROR(VLOOKUP($A21,[4]측정_24H데이타!$A:$AE,14,0),"")</f>
        <v/>
      </c>
      <c r="AX21" t="str">
        <f>IFERROR(VLOOKUP($A21,[4]측정_24H데이타!$A:$AE,15,0),"")</f>
        <v/>
      </c>
      <c r="AY21" t="str">
        <f>IFERROR(VLOOKUP($A21,[4]측정_24H데이타!$A:$AE,16,0),"")</f>
        <v/>
      </c>
      <c r="AZ21" t="str">
        <f>IFERROR(VLOOKUP($A21,[4]측정_24H데이타!$A:$AE,17,0),"")</f>
        <v/>
      </c>
      <c r="BA21" t="str">
        <f>IFERROR(VLOOKUP($A21,[4]측정_24H데이타!$A:$AE,18,0),"")</f>
        <v/>
      </c>
      <c r="BB21" t="str">
        <f>IFERROR(VLOOKUP($A21,[4]측정_24H데이타!$A:$AE,19,0),"")</f>
        <v/>
      </c>
      <c r="BC21" t="str">
        <f>IFERROR(VLOOKUP($A21,[4]측정_24H데이타!$A:$AE,20,0),"")</f>
        <v/>
      </c>
      <c r="BD21" t="str">
        <f>IFERROR(VLOOKUP($A21,[4]측정_24H데이타!$A:$AE,21,0),"")</f>
        <v/>
      </c>
      <c r="BE21" t="str">
        <f>IFERROR(VLOOKUP($A21,[4]측정_24H데이타!$A:$AE,22,0),"")</f>
        <v/>
      </c>
      <c r="BF21" t="str">
        <f>IFERROR(VLOOKUP($A21,[3]측정!$A:$AU,39,0),"")</f>
        <v/>
      </c>
      <c r="BG21" t="str">
        <f>IFERROR(VLOOKUP($A21,[3]측정!$A:$AU,40,0),"")</f>
        <v/>
      </c>
      <c r="BH21" t="str">
        <f>IFERROR(VLOOKUP($A21,[3]측정!$A:$AU,41,0),"")</f>
        <v/>
      </c>
      <c r="BI21" t="str">
        <f>IFERROR(VLOOKUP($A21,[3]측정!$A:$AU,42,0),"")</f>
        <v/>
      </c>
      <c r="BJ21" t="str">
        <f>IFERROR(VLOOKUP($A21,[3]측정!$A:$AU,43,0),"")</f>
        <v/>
      </c>
      <c r="BK21" t="str">
        <f>IFERROR(VLOOKUP($A21,[3]측정!$A:$AU,44,0),"")</f>
        <v/>
      </c>
      <c r="BL21" t="str">
        <f>IFERROR(VLOOKUP($A21,[3]측정!$A:$AU,45,0),"")</f>
        <v/>
      </c>
      <c r="BM21" t="str">
        <f>IFERROR(VLOOKUP($A21,[3]측정!$A:$AU,46,0),"")</f>
        <v/>
      </c>
      <c r="BN21" t="str">
        <f>IFERROR(VLOOKUP($A21,[3]측정!$A:$AU,47,0),"")</f>
        <v/>
      </c>
      <c r="BO21" t="str">
        <f>IFERROR(VLOOKUP($A21,[4]측정_24H데이타!$A:$AE,23,0),"")</f>
        <v/>
      </c>
      <c r="BP21" t="str">
        <f>IFERROR(VLOOKUP($A21,[4]측정_24H데이타!$A:$AE,24,0),"")</f>
        <v/>
      </c>
      <c r="BQ21" t="str">
        <f>IFERROR(VLOOKUP($A21,[4]측정_24H데이타!$A:$AE,25,0),"")</f>
        <v/>
      </c>
      <c r="BR21" t="str">
        <f>IFERROR(VLOOKUP($A21,[4]측정_24H데이타!$A:$AE,26,0),"")</f>
        <v/>
      </c>
      <c r="BS21" t="str">
        <f>IFERROR(VLOOKUP($A21,[4]측정_24H데이타!$A:$AE,27,0),"")</f>
        <v/>
      </c>
      <c r="BT21" t="str">
        <f>IFERROR(VLOOKUP($A21,[4]측정_24H데이타!$A:$AE,28,0),"")</f>
        <v/>
      </c>
      <c r="BU21" t="str">
        <f>IFERROR(VLOOKUP($A21,[4]측정_24H데이타!$A:$AE,29,0),"")</f>
        <v/>
      </c>
      <c r="BV21" t="str">
        <f>IFERROR(VLOOKUP($A21,[4]측정_24H데이타!$A:$AE,30,0),"")</f>
        <v/>
      </c>
      <c r="BW21" t="str">
        <f>IFERROR(VLOOKUP($A21,[4]측정_24H데이타!$A:$AE,31,0),"")</f>
        <v/>
      </c>
    </row>
    <row r="22" spans="12:75">
      <c r="L22" t="str">
        <f>IFERROR(VLOOKUP($A22,'[3]사출실험_CYCLE TIME'!$A:$H,8,0),"")</f>
        <v/>
      </c>
      <c r="M22" t="str">
        <f>IFERROR(VLOOKUP($A22,[3]측정!$A:$BL,56,0),"")</f>
        <v/>
      </c>
      <c r="N22" t="str">
        <f>IFERROR(VLOOKUP($A22,[3]측정!$A:$BL,57,0),"")</f>
        <v/>
      </c>
      <c r="O22" t="str">
        <f>IFERROR(VLOOKUP($A22,[3]측정!$A:$BL,58,0),"")</f>
        <v/>
      </c>
      <c r="P22" t="str">
        <f>IFERROR(VLOOKUP($A22,[3]측정!$A:$BL,59,0),"")</f>
        <v/>
      </c>
      <c r="Q22" t="str">
        <f>IFERROR(VLOOKUP($A22,[3]측정!$A:$BL,60,0),"")</f>
        <v/>
      </c>
      <c r="R22" t="str">
        <f>IFERROR(VLOOKUP($A22,[3]측정!$A:$BL,61,0),"")</f>
        <v/>
      </c>
      <c r="S22" t="str">
        <f>IFERROR(VLOOKUP($A22,[3]측정!$A:$BL,62,0),"")</f>
        <v/>
      </c>
      <c r="T22" t="str">
        <f>IFERROR(VLOOKUP($A22,[3]측정!$A:$BL,63,0),"")</f>
        <v/>
      </c>
      <c r="U22" t="str">
        <f>IFERROR(VLOOKUP($A22,[3]측정!$A:$BL,64,0),"")</f>
        <v/>
      </c>
      <c r="V22" t="str">
        <f>IFERROR(VLOOKUP($A22,[3]측정!$A:$M,5,0),"")</f>
        <v/>
      </c>
      <c r="W22" t="str">
        <f>IFERROR(VLOOKUP($A22,[3]측정!$A:$M,6,0),"")</f>
        <v/>
      </c>
      <c r="X22" t="str">
        <f>IFERROR(VLOOKUP($A22,[3]측정!$A:$M,7,0),"")</f>
        <v/>
      </c>
      <c r="Y22" t="str">
        <f>IFERROR(VLOOKUP($A22,[3]측정!$A:$M,8,0),"")</f>
        <v/>
      </c>
      <c r="Z22" t="str">
        <f>IFERROR(VLOOKUP($A22,[3]측정!$A:$M,9,0),"")</f>
        <v/>
      </c>
      <c r="AA22" t="str">
        <f>IFERROR(VLOOKUP($A22,[3]측정!$A:$M,10,0),"")</f>
        <v/>
      </c>
      <c r="AB22" t="str">
        <f>IFERROR(VLOOKUP($A22,[3]측정!$A:$M,11,0),"")</f>
        <v/>
      </c>
      <c r="AC22" t="str">
        <f>IFERROR(VLOOKUP($A22,[3]측정!$A:$M,12,0),"")</f>
        <v/>
      </c>
      <c r="AD22" t="str">
        <f>IFERROR(VLOOKUP($A22,[3]측정!$A:$M,13,0),"")</f>
        <v/>
      </c>
      <c r="AE22" t="str">
        <f>IFERROR(VLOOKUP($A22,[4]측정_24H데이타!$A:$AE,5,0),"")</f>
        <v/>
      </c>
      <c r="AF22" t="str">
        <f>IFERROR(VLOOKUP($A22,[4]측정_24H데이타!$A:$AE,6,0),"")</f>
        <v/>
      </c>
      <c r="AG22" t="str">
        <f>IFERROR(VLOOKUP($A22,[4]측정_24H데이타!$A:$AE,7,0),"")</f>
        <v/>
      </c>
      <c r="AH22" t="str">
        <f>IFERROR(VLOOKUP($A22,[4]측정_24H데이타!$A:$AE,8,0),"")</f>
        <v/>
      </c>
      <c r="AI22" t="str">
        <f>IFERROR(VLOOKUP($A22,[4]측정_24H데이타!$A:$AE,9,0),"")</f>
        <v/>
      </c>
      <c r="AJ22" t="str">
        <f>IFERROR(VLOOKUP($A22,[4]측정_24H데이타!$A:$AE,10,0),"")</f>
        <v/>
      </c>
      <c r="AK22" t="str">
        <f>IFERROR(VLOOKUP($A22,[4]측정_24H데이타!$A:$AE,11,0),"")</f>
        <v/>
      </c>
      <c r="AL22" t="str">
        <f>IFERROR(VLOOKUP($A22,[4]측정_24H데이타!$A:$AE,12,0),"")</f>
        <v/>
      </c>
      <c r="AM22" t="str">
        <f>IFERROR(VLOOKUP($A22,[4]측정_24H데이타!$A:$AE,13,0),"")</f>
        <v/>
      </c>
      <c r="AN22" t="str">
        <f>IFERROR(VLOOKUP($A22,[3]측정!$A:$AD,22,0),"")</f>
        <v/>
      </c>
      <c r="AO22" t="str">
        <f>IFERROR(VLOOKUP($A22,[3]측정!$A:$AD,23,0),"")</f>
        <v/>
      </c>
      <c r="AP22" t="str">
        <f>IFERROR(VLOOKUP($A22,[3]측정!$A:$AD,24,0),"")</f>
        <v/>
      </c>
      <c r="AQ22" t="str">
        <f>IFERROR(VLOOKUP($A22,[3]측정!$A:$AD,25,0),"")</f>
        <v/>
      </c>
      <c r="AR22" t="str">
        <f>IFERROR(VLOOKUP($A22,[3]측정!$A:$AD,26,0),"")</f>
        <v/>
      </c>
      <c r="AS22" t="str">
        <f>IFERROR(VLOOKUP($A22,[3]측정!$A:$AD,27,0),"")</f>
        <v/>
      </c>
      <c r="AT22" t="str">
        <f>IFERROR(VLOOKUP($A22,[3]측정!$A:$AD,28,0),"")</f>
        <v/>
      </c>
      <c r="AU22" t="str">
        <f>IFERROR(VLOOKUP($A22,[3]측정!$A:$AD,29,0),"")</f>
        <v/>
      </c>
      <c r="AV22" t="str">
        <f>IFERROR(VLOOKUP($A22,[3]측정!$A:$AD,30,0),"")</f>
        <v/>
      </c>
      <c r="AW22" t="str">
        <f>IFERROR(VLOOKUP($A22,[4]측정_24H데이타!$A:$AE,14,0),"")</f>
        <v/>
      </c>
      <c r="AX22" t="str">
        <f>IFERROR(VLOOKUP($A22,[4]측정_24H데이타!$A:$AE,15,0),"")</f>
        <v/>
      </c>
      <c r="AY22" t="str">
        <f>IFERROR(VLOOKUP($A22,[4]측정_24H데이타!$A:$AE,16,0),"")</f>
        <v/>
      </c>
      <c r="AZ22" t="str">
        <f>IFERROR(VLOOKUP($A22,[4]측정_24H데이타!$A:$AE,17,0),"")</f>
        <v/>
      </c>
      <c r="BA22" t="str">
        <f>IFERROR(VLOOKUP($A22,[4]측정_24H데이타!$A:$AE,18,0),"")</f>
        <v/>
      </c>
      <c r="BB22" t="str">
        <f>IFERROR(VLOOKUP($A22,[4]측정_24H데이타!$A:$AE,19,0),"")</f>
        <v/>
      </c>
      <c r="BC22" t="str">
        <f>IFERROR(VLOOKUP($A22,[4]측정_24H데이타!$A:$AE,20,0),"")</f>
        <v/>
      </c>
      <c r="BD22" t="str">
        <f>IFERROR(VLOOKUP($A22,[4]측정_24H데이타!$A:$AE,21,0),"")</f>
        <v/>
      </c>
      <c r="BE22" t="str">
        <f>IFERROR(VLOOKUP($A22,[4]측정_24H데이타!$A:$AE,22,0),"")</f>
        <v/>
      </c>
      <c r="BF22" t="str">
        <f>IFERROR(VLOOKUP($A22,[3]측정!$A:$AU,39,0),"")</f>
        <v/>
      </c>
      <c r="BG22" t="str">
        <f>IFERROR(VLOOKUP($A22,[3]측정!$A:$AU,40,0),"")</f>
        <v/>
      </c>
      <c r="BH22" t="str">
        <f>IFERROR(VLOOKUP($A22,[3]측정!$A:$AU,41,0),"")</f>
        <v/>
      </c>
      <c r="BI22" t="str">
        <f>IFERROR(VLOOKUP($A22,[3]측정!$A:$AU,42,0),"")</f>
        <v/>
      </c>
      <c r="BJ22" t="str">
        <f>IFERROR(VLOOKUP($A22,[3]측정!$A:$AU,43,0),"")</f>
        <v/>
      </c>
      <c r="BK22" t="str">
        <f>IFERROR(VLOOKUP($A22,[3]측정!$A:$AU,44,0),"")</f>
        <v/>
      </c>
      <c r="BL22" t="str">
        <f>IFERROR(VLOOKUP($A22,[3]측정!$A:$AU,45,0),"")</f>
        <v/>
      </c>
      <c r="BM22" t="str">
        <f>IFERROR(VLOOKUP($A22,[3]측정!$A:$AU,46,0),"")</f>
        <v/>
      </c>
      <c r="BN22" t="str">
        <f>IFERROR(VLOOKUP($A22,[3]측정!$A:$AU,47,0),"")</f>
        <v/>
      </c>
      <c r="BO22" t="str">
        <f>IFERROR(VLOOKUP($A22,[4]측정_24H데이타!$A:$AE,23,0),"")</f>
        <v/>
      </c>
      <c r="BP22" t="str">
        <f>IFERROR(VLOOKUP($A22,[4]측정_24H데이타!$A:$AE,24,0),"")</f>
        <v/>
      </c>
      <c r="BQ22" t="str">
        <f>IFERROR(VLOOKUP($A22,[4]측정_24H데이타!$A:$AE,25,0),"")</f>
        <v/>
      </c>
      <c r="BR22" t="str">
        <f>IFERROR(VLOOKUP($A22,[4]측정_24H데이타!$A:$AE,26,0),"")</f>
        <v/>
      </c>
      <c r="BS22" t="str">
        <f>IFERROR(VLOOKUP($A22,[4]측정_24H데이타!$A:$AE,27,0),"")</f>
        <v/>
      </c>
      <c r="BT22" t="str">
        <f>IFERROR(VLOOKUP($A22,[4]측정_24H데이타!$A:$AE,28,0),"")</f>
        <v/>
      </c>
      <c r="BU22" t="str">
        <f>IFERROR(VLOOKUP($A22,[4]측정_24H데이타!$A:$AE,29,0),"")</f>
        <v/>
      </c>
      <c r="BV22" t="str">
        <f>IFERROR(VLOOKUP($A22,[4]측정_24H데이타!$A:$AE,30,0),"")</f>
        <v/>
      </c>
      <c r="BW22" t="str">
        <f>IFERROR(VLOOKUP($A22,[4]측정_24H데이타!$A:$AE,31,0),"")</f>
        <v/>
      </c>
    </row>
    <row r="23" spans="12:75">
      <c r="L23" t="str">
        <f>IFERROR(VLOOKUP($A23,'[3]사출실험_CYCLE TIME'!$A:$H,8,0),"")</f>
        <v/>
      </c>
      <c r="M23" t="str">
        <f>IFERROR(VLOOKUP($A23,[3]측정!$A:$BL,56,0),"")</f>
        <v/>
      </c>
      <c r="N23" t="str">
        <f>IFERROR(VLOOKUP($A23,[3]측정!$A:$BL,57,0),"")</f>
        <v/>
      </c>
      <c r="O23" t="str">
        <f>IFERROR(VLOOKUP($A23,[3]측정!$A:$BL,58,0),"")</f>
        <v/>
      </c>
      <c r="P23" t="str">
        <f>IFERROR(VLOOKUP($A23,[3]측정!$A:$BL,59,0),"")</f>
        <v/>
      </c>
      <c r="Q23" t="str">
        <f>IFERROR(VLOOKUP($A23,[3]측정!$A:$BL,60,0),"")</f>
        <v/>
      </c>
      <c r="R23" t="str">
        <f>IFERROR(VLOOKUP($A23,[3]측정!$A:$BL,61,0),"")</f>
        <v/>
      </c>
      <c r="S23" t="str">
        <f>IFERROR(VLOOKUP($A23,[3]측정!$A:$BL,62,0),"")</f>
        <v/>
      </c>
      <c r="T23" t="str">
        <f>IFERROR(VLOOKUP($A23,[3]측정!$A:$BL,63,0),"")</f>
        <v/>
      </c>
      <c r="U23" t="str">
        <f>IFERROR(VLOOKUP($A23,[3]측정!$A:$BL,64,0),"")</f>
        <v/>
      </c>
      <c r="V23" t="str">
        <f>IFERROR(VLOOKUP($A23,[3]측정!$A:$M,5,0),"")</f>
        <v/>
      </c>
      <c r="W23" t="str">
        <f>IFERROR(VLOOKUP($A23,[3]측정!$A:$M,6,0),"")</f>
        <v/>
      </c>
      <c r="X23" t="str">
        <f>IFERROR(VLOOKUP($A23,[3]측정!$A:$M,7,0),"")</f>
        <v/>
      </c>
      <c r="Y23" t="str">
        <f>IFERROR(VLOOKUP($A23,[3]측정!$A:$M,8,0),"")</f>
        <v/>
      </c>
      <c r="Z23" t="str">
        <f>IFERROR(VLOOKUP($A23,[3]측정!$A:$M,9,0),"")</f>
        <v/>
      </c>
      <c r="AA23" t="str">
        <f>IFERROR(VLOOKUP($A23,[3]측정!$A:$M,10,0),"")</f>
        <v/>
      </c>
      <c r="AB23" t="str">
        <f>IFERROR(VLOOKUP($A23,[3]측정!$A:$M,11,0),"")</f>
        <v/>
      </c>
      <c r="AC23" t="str">
        <f>IFERROR(VLOOKUP($A23,[3]측정!$A:$M,12,0),"")</f>
        <v/>
      </c>
      <c r="AD23" t="str">
        <f>IFERROR(VLOOKUP($A23,[3]측정!$A:$M,13,0),"")</f>
        <v/>
      </c>
      <c r="AE23" t="str">
        <f>IFERROR(VLOOKUP($A23,[4]측정_24H데이타!$A:$AE,5,0),"")</f>
        <v/>
      </c>
      <c r="AF23" t="str">
        <f>IFERROR(VLOOKUP($A23,[4]측정_24H데이타!$A:$AE,6,0),"")</f>
        <v/>
      </c>
      <c r="AG23" t="str">
        <f>IFERROR(VLOOKUP($A23,[4]측정_24H데이타!$A:$AE,7,0),"")</f>
        <v/>
      </c>
      <c r="AH23" t="str">
        <f>IFERROR(VLOOKUP($A23,[4]측정_24H데이타!$A:$AE,8,0),"")</f>
        <v/>
      </c>
      <c r="AI23" t="str">
        <f>IFERROR(VLOOKUP($A23,[4]측정_24H데이타!$A:$AE,9,0),"")</f>
        <v/>
      </c>
      <c r="AJ23" t="str">
        <f>IFERROR(VLOOKUP($A23,[4]측정_24H데이타!$A:$AE,10,0),"")</f>
        <v/>
      </c>
      <c r="AK23" t="str">
        <f>IFERROR(VLOOKUP($A23,[4]측정_24H데이타!$A:$AE,11,0),"")</f>
        <v/>
      </c>
      <c r="AL23" t="str">
        <f>IFERROR(VLOOKUP($A23,[4]측정_24H데이타!$A:$AE,12,0),"")</f>
        <v/>
      </c>
      <c r="AM23" t="str">
        <f>IFERROR(VLOOKUP($A23,[4]측정_24H데이타!$A:$AE,13,0),"")</f>
        <v/>
      </c>
      <c r="AN23" t="str">
        <f>IFERROR(VLOOKUP($A23,[3]측정!$A:$AD,22,0),"")</f>
        <v/>
      </c>
      <c r="AO23" t="str">
        <f>IFERROR(VLOOKUP($A23,[3]측정!$A:$AD,23,0),"")</f>
        <v/>
      </c>
      <c r="AP23" t="str">
        <f>IFERROR(VLOOKUP($A23,[3]측정!$A:$AD,24,0),"")</f>
        <v/>
      </c>
      <c r="AQ23" t="str">
        <f>IFERROR(VLOOKUP($A23,[3]측정!$A:$AD,25,0),"")</f>
        <v/>
      </c>
      <c r="AR23" t="str">
        <f>IFERROR(VLOOKUP($A23,[3]측정!$A:$AD,26,0),"")</f>
        <v/>
      </c>
      <c r="AS23" t="str">
        <f>IFERROR(VLOOKUP($A23,[3]측정!$A:$AD,27,0),"")</f>
        <v/>
      </c>
      <c r="AT23" t="str">
        <f>IFERROR(VLOOKUP($A23,[3]측정!$A:$AD,28,0),"")</f>
        <v/>
      </c>
      <c r="AU23" t="str">
        <f>IFERROR(VLOOKUP($A23,[3]측정!$A:$AD,29,0),"")</f>
        <v/>
      </c>
      <c r="AV23" t="str">
        <f>IFERROR(VLOOKUP($A23,[3]측정!$A:$AD,30,0),"")</f>
        <v/>
      </c>
      <c r="AW23" t="str">
        <f>IFERROR(VLOOKUP($A23,[4]측정_24H데이타!$A:$AE,14,0),"")</f>
        <v/>
      </c>
      <c r="AX23" t="str">
        <f>IFERROR(VLOOKUP($A23,[4]측정_24H데이타!$A:$AE,15,0),"")</f>
        <v/>
      </c>
      <c r="AY23" t="str">
        <f>IFERROR(VLOOKUP($A23,[4]측정_24H데이타!$A:$AE,16,0),"")</f>
        <v/>
      </c>
      <c r="AZ23" t="str">
        <f>IFERROR(VLOOKUP($A23,[4]측정_24H데이타!$A:$AE,17,0),"")</f>
        <v/>
      </c>
      <c r="BA23" t="str">
        <f>IFERROR(VLOOKUP($A23,[4]측정_24H데이타!$A:$AE,18,0),"")</f>
        <v/>
      </c>
      <c r="BB23" t="str">
        <f>IFERROR(VLOOKUP($A23,[4]측정_24H데이타!$A:$AE,19,0),"")</f>
        <v/>
      </c>
      <c r="BC23" t="str">
        <f>IFERROR(VLOOKUP($A23,[4]측정_24H데이타!$A:$AE,20,0),"")</f>
        <v/>
      </c>
      <c r="BD23" t="str">
        <f>IFERROR(VLOOKUP($A23,[4]측정_24H데이타!$A:$AE,21,0),"")</f>
        <v/>
      </c>
      <c r="BE23" t="str">
        <f>IFERROR(VLOOKUP($A23,[4]측정_24H데이타!$A:$AE,22,0),"")</f>
        <v/>
      </c>
      <c r="BF23" t="str">
        <f>IFERROR(VLOOKUP($A23,[3]측정!$A:$AU,39,0),"")</f>
        <v/>
      </c>
      <c r="BG23" t="str">
        <f>IFERROR(VLOOKUP($A23,[3]측정!$A:$AU,40,0),"")</f>
        <v/>
      </c>
      <c r="BH23" t="str">
        <f>IFERROR(VLOOKUP($A23,[3]측정!$A:$AU,41,0),"")</f>
        <v/>
      </c>
      <c r="BI23" t="str">
        <f>IFERROR(VLOOKUP($A23,[3]측정!$A:$AU,42,0),"")</f>
        <v/>
      </c>
      <c r="BJ23" t="str">
        <f>IFERROR(VLOOKUP($A23,[3]측정!$A:$AU,43,0),"")</f>
        <v/>
      </c>
      <c r="BK23" t="str">
        <f>IFERROR(VLOOKUP($A23,[3]측정!$A:$AU,44,0),"")</f>
        <v/>
      </c>
      <c r="BL23" t="str">
        <f>IFERROR(VLOOKUP($A23,[3]측정!$A:$AU,45,0),"")</f>
        <v/>
      </c>
      <c r="BM23" t="str">
        <f>IFERROR(VLOOKUP($A23,[3]측정!$A:$AU,46,0),"")</f>
        <v/>
      </c>
      <c r="BN23" t="str">
        <f>IFERROR(VLOOKUP($A23,[3]측정!$A:$AU,47,0),"")</f>
        <v/>
      </c>
      <c r="BO23" t="str">
        <f>IFERROR(VLOOKUP($A23,[4]측정_24H데이타!$A:$AE,23,0),"")</f>
        <v/>
      </c>
      <c r="BP23" t="str">
        <f>IFERROR(VLOOKUP($A23,[4]측정_24H데이타!$A:$AE,24,0),"")</f>
        <v/>
      </c>
      <c r="BQ23" t="str">
        <f>IFERROR(VLOOKUP($A23,[4]측정_24H데이타!$A:$AE,25,0),"")</f>
        <v/>
      </c>
      <c r="BR23" t="str">
        <f>IFERROR(VLOOKUP($A23,[4]측정_24H데이타!$A:$AE,26,0),"")</f>
        <v/>
      </c>
      <c r="BS23" t="str">
        <f>IFERROR(VLOOKUP($A23,[4]측정_24H데이타!$A:$AE,27,0),"")</f>
        <v/>
      </c>
      <c r="BT23" t="str">
        <f>IFERROR(VLOOKUP($A23,[4]측정_24H데이타!$A:$AE,28,0),"")</f>
        <v/>
      </c>
      <c r="BU23" t="str">
        <f>IFERROR(VLOOKUP($A23,[4]측정_24H데이타!$A:$AE,29,0),"")</f>
        <v/>
      </c>
      <c r="BV23" t="str">
        <f>IFERROR(VLOOKUP($A23,[4]측정_24H데이타!$A:$AE,30,0),"")</f>
        <v/>
      </c>
      <c r="BW23" t="str">
        <f>IFERROR(VLOOKUP($A23,[4]측정_24H데이타!$A:$AE,31,0),"")</f>
        <v/>
      </c>
    </row>
    <row r="24" spans="12:75">
      <c r="L24" t="str">
        <f>IFERROR(VLOOKUP($A24,'[3]사출실험_CYCLE TIME'!$A:$H,8,0),"")</f>
        <v/>
      </c>
      <c r="M24" t="str">
        <f>IFERROR(VLOOKUP($A24,[3]측정!$A:$BL,56,0),"")</f>
        <v/>
      </c>
      <c r="N24" t="str">
        <f>IFERROR(VLOOKUP($A24,[3]측정!$A:$BL,57,0),"")</f>
        <v/>
      </c>
      <c r="O24" t="str">
        <f>IFERROR(VLOOKUP($A24,[3]측정!$A:$BL,58,0),"")</f>
        <v/>
      </c>
      <c r="P24" t="str">
        <f>IFERROR(VLOOKUP($A24,[3]측정!$A:$BL,59,0),"")</f>
        <v/>
      </c>
      <c r="Q24" t="str">
        <f>IFERROR(VLOOKUP($A24,[3]측정!$A:$BL,60,0),"")</f>
        <v/>
      </c>
      <c r="R24" t="str">
        <f>IFERROR(VLOOKUP($A24,[3]측정!$A:$BL,61,0),"")</f>
        <v/>
      </c>
      <c r="S24" t="str">
        <f>IFERROR(VLOOKUP($A24,[3]측정!$A:$BL,62,0),"")</f>
        <v/>
      </c>
      <c r="T24" t="str">
        <f>IFERROR(VLOOKUP($A24,[3]측정!$A:$BL,63,0),"")</f>
        <v/>
      </c>
      <c r="U24" t="str">
        <f>IFERROR(VLOOKUP($A24,[3]측정!$A:$BL,64,0),"")</f>
        <v/>
      </c>
      <c r="V24" t="str">
        <f>IFERROR(VLOOKUP($A24,[3]측정!$A:$M,5,0),"")</f>
        <v/>
      </c>
      <c r="W24" t="str">
        <f>IFERROR(VLOOKUP($A24,[3]측정!$A:$M,6,0),"")</f>
        <v/>
      </c>
      <c r="X24" t="str">
        <f>IFERROR(VLOOKUP($A24,[3]측정!$A:$M,7,0),"")</f>
        <v/>
      </c>
      <c r="Y24" t="str">
        <f>IFERROR(VLOOKUP($A24,[3]측정!$A:$M,8,0),"")</f>
        <v/>
      </c>
      <c r="Z24" t="str">
        <f>IFERROR(VLOOKUP($A24,[3]측정!$A:$M,9,0),"")</f>
        <v/>
      </c>
      <c r="AA24" t="str">
        <f>IFERROR(VLOOKUP($A24,[3]측정!$A:$M,10,0),"")</f>
        <v/>
      </c>
      <c r="AB24" t="str">
        <f>IFERROR(VLOOKUP($A24,[3]측정!$A:$M,11,0),"")</f>
        <v/>
      </c>
      <c r="AC24" t="str">
        <f>IFERROR(VLOOKUP($A24,[3]측정!$A:$M,12,0),"")</f>
        <v/>
      </c>
      <c r="AD24" t="str">
        <f>IFERROR(VLOOKUP($A24,[3]측정!$A:$M,13,0),"")</f>
        <v/>
      </c>
      <c r="AE24" t="str">
        <f>IFERROR(VLOOKUP($A24,[4]측정_24H데이타!$A:$AE,5,0),"")</f>
        <v/>
      </c>
      <c r="AF24" t="str">
        <f>IFERROR(VLOOKUP($A24,[4]측정_24H데이타!$A:$AE,6,0),"")</f>
        <v/>
      </c>
      <c r="AG24" t="str">
        <f>IFERROR(VLOOKUP($A24,[4]측정_24H데이타!$A:$AE,7,0),"")</f>
        <v/>
      </c>
      <c r="AH24" t="str">
        <f>IFERROR(VLOOKUP($A24,[4]측정_24H데이타!$A:$AE,8,0),"")</f>
        <v/>
      </c>
      <c r="AI24" t="str">
        <f>IFERROR(VLOOKUP($A24,[4]측정_24H데이타!$A:$AE,9,0),"")</f>
        <v/>
      </c>
      <c r="AJ24" t="str">
        <f>IFERROR(VLOOKUP($A24,[4]측정_24H데이타!$A:$AE,10,0),"")</f>
        <v/>
      </c>
      <c r="AK24" t="str">
        <f>IFERROR(VLOOKUP($A24,[4]측정_24H데이타!$A:$AE,11,0),"")</f>
        <v/>
      </c>
      <c r="AL24" t="str">
        <f>IFERROR(VLOOKUP($A24,[4]측정_24H데이타!$A:$AE,12,0),"")</f>
        <v/>
      </c>
      <c r="AM24" t="str">
        <f>IFERROR(VLOOKUP($A24,[4]측정_24H데이타!$A:$AE,13,0),"")</f>
        <v/>
      </c>
      <c r="AN24" t="str">
        <f>IFERROR(VLOOKUP($A24,[3]측정!$A:$AD,22,0),"")</f>
        <v/>
      </c>
      <c r="AO24" t="str">
        <f>IFERROR(VLOOKUP($A24,[3]측정!$A:$AD,23,0),"")</f>
        <v/>
      </c>
      <c r="AP24" t="str">
        <f>IFERROR(VLOOKUP($A24,[3]측정!$A:$AD,24,0),"")</f>
        <v/>
      </c>
      <c r="AQ24" t="str">
        <f>IFERROR(VLOOKUP($A24,[3]측정!$A:$AD,25,0),"")</f>
        <v/>
      </c>
      <c r="AR24" t="str">
        <f>IFERROR(VLOOKUP($A24,[3]측정!$A:$AD,26,0),"")</f>
        <v/>
      </c>
      <c r="AS24" t="str">
        <f>IFERROR(VLOOKUP($A24,[3]측정!$A:$AD,27,0),"")</f>
        <v/>
      </c>
      <c r="AT24" t="str">
        <f>IFERROR(VLOOKUP($A24,[3]측정!$A:$AD,28,0),"")</f>
        <v/>
      </c>
      <c r="AU24" t="str">
        <f>IFERROR(VLOOKUP($A24,[3]측정!$A:$AD,29,0),"")</f>
        <v/>
      </c>
      <c r="AV24" t="str">
        <f>IFERROR(VLOOKUP($A24,[3]측정!$A:$AD,30,0),"")</f>
        <v/>
      </c>
      <c r="AW24" t="str">
        <f>IFERROR(VLOOKUP($A24,[4]측정_24H데이타!$A:$AE,14,0),"")</f>
        <v/>
      </c>
      <c r="AX24" t="str">
        <f>IFERROR(VLOOKUP($A24,[4]측정_24H데이타!$A:$AE,15,0),"")</f>
        <v/>
      </c>
      <c r="AY24" t="str">
        <f>IFERROR(VLOOKUP($A24,[4]측정_24H데이타!$A:$AE,16,0),"")</f>
        <v/>
      </c>
      <c r="AZ24" t="str">
        <f>IFERROR(VLOOKUP($A24,[4]측정_24H데이타!$A:$AE,17,0),"")</f>
        <v/>
      </c>
      <c r="BA24" t="str">
        <f>IFERROR(VLOOKUP($A24,[4]측정_24H데이타!$A:$AE,18,0),"")</f>
        <v/>
      </c>
      <c r="BB24" t="str">
        <f>IFERROR(VLOOKUP($A24,[4]측정_24H데이타!$A:$AE,19,0),"")</f>
        <v/>
      </c>
      <c r="BC24" t="str">
        <f>IFERROR(VLOOKUP($A24,[4]측정_24H데이타!$A:$AE,20,0),"")</f>
        <v/>
      </c>
      <c r="BD24" t="str">
        <f>IFERROR(VLOOKUP($A24,[4]측정_24H데이타!$A:$AE,21,0),"")</f>
        <v/>
      </c>
      <c r="BE24" t="str">
        <f>IFERROR(VLOOKUP($A24,[4]측정_24H데이타!$A:$AE,22,0),"")</f>
        <v/>
      </c>
      <c r="BF24" t="str">
        <f>IFERROR(VLOOKUP($A24,[3]측정!$A:$AU,39,0),"")</f>
        <v/>
      </c>
      <c r="BG24" t="str">
        <f>IFERROR(VLOOKUP($A24,[3]측정!$A:$AU,40,0),"")</f>
        <v/>
      </c>
      <c r="BH24" t="str">
        <f>IFERROR(VLOOKUP($A24,[3]측정!$A:$AU,41,0),"")</f>
        <v/>
      </c>
      <c r="BI24" t="str">
        <f>IFERROR(VLOOKUP($A24,[3]측정!$A:$AU,42,0),"")</f>
        <v/>
      </c>
      <c r="BJ24" t="str">
        <f>IFERROR(VLOOKUP($A24,[3]측정!$A:$AU,43,0),"")</f>
        <v/>
      </c>
      <c r="BK24" t="str">
        <f>IFERROR(VLOOKUP($A24,[3]측정!$A:$AU,44,0),"")</f>
        <v/>
      </c>
      <c r="BL24" t="str">
        <f>IFERROR(VLOOKUP($A24,[3]측정!$A:$AU,45,0),"")</f>
        <v/>
      </c>
      <c r="BM24" t="str">
        <f>IFERROR(VLOOKUP($A24,[3]측정!$A:$AU,46,0),"")</f>
        <v/>
      </c>
      <c r="BN24" t="str">
        <f>IFERROR(VLOOKUP($A24,[3]측정!$A:$AU,47,0),"")</f>
        <v/>
      </c>
      <c r="BO24" t="str">
        <f>IFERROR(VLOOKUP($A24,[4]측정_24H데이타!$A:$AE,23,0),"")</f>
        <v/>
      </c>
      <c r="BP24" t="str">
        <f>IFERROR(VLOOKUP($A24,[4]측정_24H데이타!$A:$AE,24,0),"")</f>
        <v/>
      </c>
      <c r="BQ24" t="str">
        <f>IFERROR(VLOOKUP($A24,[4]측정_24H데이타!$A:$AE,25,0),"")</f>
        <v/>
      </c>
      <c r="BR24" t="str">
        <f>IFERROR(VLOOKUP($A24,[4]측정_24H데이타!$A:$AE,26,0),"")</f>
        <v/>
      </c>
      <c r="BS24" t="str">
        <f>IFERROR(VLOOKUP($A24,[4]측정_24H데이타!$A:$AE,27,0),"")</f>
        <v/>
      </c>
      <c r="BT24" t="str">
        <f>IFERROR(VLOOKUP($A24,[4]측정_24H데이타!$A:$AE,28,0),"")</f>
        <v/>
      </c>
      <c r="BU24" t="str">
        <f>IFERROR(VLOOKUP($A24,[4]측정_24H데이타!$A:$AE,29,0),"")</f>
        <v/>
      </c>
      <c r="BV24" t="str">
        <f>IFERROR(VLOOKUP($A24,[4]측정_24H데이타!$A:$AE,30,0),"")</f>
        <v/>
      </c>
      <c r="BW24" t="str">
        <f>IFERROR(VLOOKUP($A24,[4]측정_24H데이타!$A:$AE,31,0),"")</f>
        <v/>
      </c>
    </row>
    <row r="25" spans="12:75">
      <c r="L25" t="str">
        <f>IFERROR(VLOOKUP($A25,'[3]사출실험_CYCLE TIME'!$A:$H,8,0),"")</f>
        <v/>
      </c>
      <c r="M25" t="str">
        <f>IFERROR(VLOOKUP($A25,[3]측정!$A:$BL,56,0),"")</f>
        <v/>
      </c>
      <c r="N25" t="str">
        <f>IFERROR(VLOOKUP($A25,[3]측정!$A:$BL,57,0),"")</f>
        <v/>
      </c>
      <c r="O25" t="str">
        <f>IFERROR(VLOOKUP($A25,[3]측정!$A:$BL,58,0),"")</f>
        <v/>
      </c>
      <c r="P25" t="str">
        <f>IFERROR(VLOOKUP($A25,[3]측정!$A:$BL,59,0),"")</f>
        <v/>
      </c>
      <c r="Q25" t="str">
        <f>IFERROR(VLOOKUP($A25,[3]측정!$A:$BL,60,0),"")</f>
        <v/>
      </c>
      <c r="R25" t="str">
        <f>IFERROR(VLOOKUP($A25,[3]측정!$A:$BL,61,0),"")</f>
        <v/>
      </c>
      <c r="S25" t="str">
        <f>IFERROR(VLOOKUP($A25,[3]측정!$A:$BL,62,0),"")</f>
        <v/>
      </c>
      <c r="T25" t="str">
        <f>IFERROR(VLOOKUP($A25,[3]측정!$A:$BL,63,0),"")</f>
        <v/>
      </c>
      <c r="U25" t="str">
        <f>IFERROR(VLOOKUP($A25,[3]측정!$A:$BL,64,0),"")</f>
        <v/>
      </c>
      <c r="V25" t="str">
        <f>IFERROR(VLOOKUP($A25,[3]측정!$A:$M,5,0),"")</f>
        <v/>
      </c>
      <c r="W25" t="str">
        <f>IFERROR(VLOOKUP($A25,[3]측정!$A:$M,6,0),"")</f>
        <v/>
      </c>
      <c r="X25" t="str">
        <f>IFERROR(VLOOKUP($A25,[3]측정!$A:$M,7,0),"")</f>
        <v/>
      </c>
      <c r="Y25" t="str">
        <f>IFERROR(VLOOKUP($A25,[3]측정!$A:$M,8,0),"")</f>
        <v/>
      </c>
      <c r="Z25" t="str">
        <f>IFERROR(VLOOKUP($A25,[3]측정!$A:$M,9,0),"")</f>
        <v/>
      </c>
      <c r="AA25" t="str">
        <f>IFERROR(VLOOKUP($A25,[3]측정!$A:$M,10,0),"")</f>
        <v/>
      </c>
      <c r="AB25" t="str">
        <f>IFERROR(VLOOKUP($A25,[3]측정!$A:$M,11,0),"")</f>
        <v/>
      </c>
      <c r="AC25" t="str">
        <f>IFERROR(VLOOKUP($A25,[3]측정!$A:$M,12,0),"")</f>
        <v/>
      </c>
      <c r="AD25" t="str">
        <f>IFERROR(VLOOKUP($A25,[3]측정!$A:$M,13,0),"")</f>
        <v/>
      </c>
      <c r="AE25" t="str">
        <f>IFERROR(VLOOKUP($A25,[4]측정_24H데이타!$A:$AE,5,0),"")</f>
        <v/>
      </c>
      <c r="AF25" t="str">
        <f>IFERROR(VLOOKUP($A25,[4]측정_24H데이타!$A:$AE,6,0),"")</f>
        <v/>
      </c>
      <c r="AG25" t="str">
        <f>IFERROR(VLOOKUP($A25,[4]측정_24H데이타!$A:$AE,7,0),"")</f>
        <v/>
      </c>
      <c r="AH25" t="str">
        <f>IFERROR(VLOOKUP($A25,[4]측정_24H데이타!$A:$AE,8,0),"")</f>
        <v/>
      </c>
      <c r="AI25" t="str">
        <f>IFERROR(VLOOKUP($A25,[4]측정_24H데이타!$A:$AE,9,0),"")</f>
        <v/>
      </c>
      <c r="AJ25" t="str">
        <f>IFERROR(VLOOKUP($A25,[4]측정_24H데이타!$A:$AE,10,0),"")</f>
        <v/>
      </c>
      <c r="AK25" t="str">
        <f>IFERROR(VLOOKUP($A25,[4]측정_24H데이타!$A:$AE,11,0),"")</f>
        <v/>
      </c>
      <c r="AL25" t="str">
        <f>IFERROR(VLOOKUP($A25,[4]측정_24H데이타!$A:$AE,12,0),"")</f>
        <v/>
      </c>
      <c r="AM25" t="str">
        <f>IFERROR(VLOOKUP($A25,[4]측정_24H데이타!$A:$AE,13,0),"")</f>
        <v/>
      </c>
      <c r="AN25" t="str">
        <f>IFERROR(VLOOKUP($A25,[3]측정!$A:$AD,22,0),"")</f>
        <v/>
      </c>
      <c r="AO25" t="str">
        <f>IFERROR(VLOOKUP($A25,[3]측정!$A:$AD,23,0),"")</f>
        <v/>
      </c>
      <c r="AP25" t="str">
        <f>IFERROR(VLOOKUP($A25,[3]측정!$A:$AD,24,0),"")</f>
        <v/>
      </c>
      <c r="AQ25" t="str">
        <f>IFERROR(VLOOKUP($A25,[3]측정!$A:$AD,25,0),"")</f>
        <v/>
      </c>
      <c r="AR25" t="str">
        <f>IFERROR(VLOOKUP($A25,[3]측정!$A:$AD,26,0),"")</f>
        <v/>
      </c>
      <c r="AS25" t="str">
        <f>IFERROR(VLOOKUP($A25,[3]측정!$A:$AD,27,0),"")</f>
        <v/>
      </c>
      <c r="AT25" t="str">
        <f>IFERROR(VLOOKUP($A25,[3]측정!$A:$AD,28,0),"")</f>
        <v/>
      </c>
      <c r="AU25" t="str">
        <f>IFERROR(VLOOKUP($A25,[3]측정!$A:$AD,29,0),"")</f>
        <v/>
      </c>
      <c r="AV25" t="str">
        <f>IFERROR(VLOOKUP($A25,[3]측정!$A:$AD,30,0),"")</f>
        <v/>
      </c>
      <c r="AW25" t="str">
        <f>IFERROR(VLOOKUP($A25,[4]측정_24H데이타!$A:$AE,14,0),"")</f>
        <v/>
      </c>
      <c r="AX25" t="str">
        <f>IFERROR(VLOOKUP($A25,[4]측정_24H데이타!$A:$AE,15,0),"")</f>
        <v/>
      </c>
      <c r="AY25" t="str">
        <f>IFERROR(VLOOKUP($A25,[4]측정_24H데이타!$A:$AE,16,0),"")</f>
        <v/>
      </c>
      <c r="AZ25" t="str">
        <f>IFERROR(VLOOKUP($A25,[4]측정_24H데이타!$A:$AE,17,0),"")</f>
        <v/>
      </c>
      <c r="BA25" t="str">
        <f>IFERROR(VLOOKUP($A25,[4]측정_24H데이타!$A:$AE,18,0),"")</f>
        <v/>
      </c>
      <c r="BB25" t="str">
        <f>IFERROR(VLOOKUP($A25,[4]측정_24H데이타!$A:$AE,19,0),"")</f>
        <v/>
      </c>
      <c r="BC25" t="str">
        <f>IFERROR(VLOOKUP($A25,[4]측정_24H데이타!$A:$AE,20,0),"")</f>
        <v/>
      </c>
      <c r="BD25" t="str">
        <f>IFERROR(VLOOKUP($A25,[4]측정_24H데이타!$A:$AE,21,0),"")</f>
        <v/>
      </c>
      <c r="BE25" t="str">
        <f>IFERROR(VLOOKUP($A25,[4]측정_24H데이타!$A:$AE,22,0),"")</f>
        <v/>
      </c>
      <c r="BF25" t="str">
        <f>IFERROR(VLOOKUP($A25,[3]측정!$A:$AU,39,0),"")</f>
        <v/>
      </c>
      <c r="BG25" t="str">
        <f>IFERROR(VLOOKUP($A25,[3]측정!$A:$AU,40,0),"")</f>
        <v/>
      </c>
      <c r="BH25" t="str">
        <f>IFERROR(VLOOKUP($A25,[3]측정!$A:$AU,41,0),"")</f>
        <v/>
      </c>
      <c r="BI25" t="str">
        <f>IFERROR(VLOOKUP($A25,[3]측정!$A:$AU,42,0),"")</f>
        <v/>
      </c>
      <c r="BJ25" t="str">
        <f>IFERROR(VLOOKUP($A25,[3]측정!$A:$AU,43,0),"")</f>
        <v/>
      </c>
      <c r="BK25" t="str">
        <f>IFERROR(VLOOKUP($A25,[3]측정!$A:$AU,44,0),"")</f>
        <v/>
      </c>
      <c r="BL25" t="str">
        <f>IFERROR(VLOOKUP($A25,[3]측정!$A:$AU,45,0),"")</f>
        <v/>
      </c>
      <c r="BM25" t="str">
        <f>IFERROR(VLOOKUP($A25,[3]측정!$A:$AU,46,0),"")</f>
        <v/>
      </c>
      <c r="BN25" t="str">
        <f>IFERROR(VLOOKUP($A25,[3]측정!$A:$AU,47,0),"")</f>
        <v/>
      </c>
      <c r="BO25" t="str">
        <f>IFERROR(VLOOKUP($A25,[4]측정_24H데이타!$A:$AE,23,0),"")</f>
        <v/>
      </c>
      <c r="BP25" t="str">
        <f>IFERROR(VLOOKUP($A25,[4]측정_24H데이타!$A:$AE,24,0),"")</f>
        <v/>
      </c>
      <c r="BQ25" t="str">
        <f>IFERROR(VLOOKUP($A25,[4]측정_24H데이타!$A:$AE,25,0),"")</f>
        <v/>
      </c>
      <c r="BR25" t="str">
        <f>IFERROR(VLOOKUP($A25,[4]측정_24H데이타!$A:$AE,26,0),"")</f>
        <v/>
      </c>
      <c r="BS25" t="str">
        <f>IFERROR(VLOOKUP($A25,[4]측정_24H데이타!$A:$AE,27,0),"")</f>
        <v/>
      </c>
      <c r="BT25" t="str">
        <f>IFERROR(VLOOKUP($A25,[4]측정_24H데이타!$A:$AE,28,0),"")</f>
        <v/>
      </c>
      <c r="BU25" t="str">
        <f>IFERROR(VLOOKUP($A25,[4]측정_24H데이타!$A:$AE,29,0),"")</f>
        <v/>
      </c>
      <c r="BV25" t="str">
        <f>IFERROR(VLOOKUP($A25,[4]측정_24H데이타!$A:$AE,30,0),"")</f>
        <v/>
      </c>
      <c r="BW25" t="str">
        <f>IFERROR(VLOOKUP($A25,[4]측정_24H데이타!$A:$AE,31,0),"")</f>
        <v/>
      </c>
    </row>
    <row r="26" spans="12:75">
      <c r="L26" t="str">
        <f>IFERROR(VLOOKUP($A26,'[3]사출실험_CYCLE TIME'!$A:$H,8,0),"")</f>
        <v/>
      </c>
      <c r="M26" t="str">
        <f>IFERROR(VLOOKUP($A26,[3]측정!$A:$BL,56,0),"")</f>
        <v/>
      </c>
      <c r="N26" t="str">
        <f>IFERROR(VLOOKUP($A26,[3]측정!$A:$BL,57,0),"")</f>
        <v/>
      </c>
      <c r="O26" t="str">
        <f>IFERROR(VLOOKUP($A26,[3]측정!$A:$BL,58,0),"")</f>
        <v/>
      </c>
      <c r="P26" t="str">
        <f>IFERROR(VLOOKUP($A26,[3]측정!$A:$BL,59,0),"")</f>
        <v/>
      </c>
      <c r="Q26" t="str">
        <f>IFERROR(VLOOKUP($A26,[3]측정!$A:$BL,60,0),"")</f>
        <v/>
      </c>
      <c r="R26" t="str">
        <f>IFERROR(VLOOKUP($A26,[3]측정!$A:$BL,61,0),"")</f>
        <v/>
      </c>
      <c r="S26" t="str">
        <f>IFERROR(VLOOKUP($A26,[3]측정!$A:$BL,62,0),"")</f>
        <v/>
      </c>
      <c r="T26" t="str">
        <f>IFERROR(VLOOKUP($A26,[3]측정!$A:$BL,63,0),"")</f>
        <v/>
      </c>
      <c r="U26" t="str">
        <f>IFERROR(VLOOKUP($A26,[3]측정!$A:$BL,64,0),"")</f>
        <v/>
      </c>
      <c r="V26" t="str">
        <f>IFERROR(VLOOKUP($A26,[3]측정!$A:$M,5,0),"")</f>
        <v/>
      </c>
      <c r="W26" t="str">
        <f>IFERROR(VLOOKUP($A26,[3]측정!$A:$M,6,0),"")</f>
        <v/>
      </c>
      <c r="X26" t="str">
        <f>IFERROR(VLOOKUP($A26,[3]측정!$A:$M,7,0),"")</f>
        <v/>
      </c>
      <c r="Y26" t="str">
        <f>IFERROR(VLOOKUP($A26,[3]측정!$A:$M,8,0),"")</f>
        <v/>
      </c>
      <c r="Z26" t="str">
        <f>IFERROR(VLOOKUP($A26,[3]측정!$A:$M,9,0),"")</f>
        <v/>
      </c>
      <c r="AA26" t="str">
        <f>IFERROR(VLOOKUP($A26,[3]측정!$A:$M,10,0),"")</f>
        <v/>
      </c>
      <c r="AB26" t="str">
        <f>IFERROR(VLOOKUP($A26,[3]측정!$A:$M,11,0),"")</f>
        <v/>
      </c>
      <c r="AC26" t="str">
        <f>IFERROR(VLOOKUP($A26,[3]측정!$A:$M,12,0),"")</f>
        <v/>
      </c>
      <c r="AD26" t="str">
        <f>IFERROR(VLOOKUP($A26,[3]측정!$A:$M,13,0),"")</f>
        <v/>
      </c>
      <c r="AE26" t="str">
        <f>IFERROR(VLOOKUP($A26,[4]측정_24H데이타!$A:$AE,5,0),"")</f>
        <v/>
      </c>
      <c r="AF26" t="str">
        <f>IFERROR(VLOOKUP($A26,[4]측정_24H데이타!$A:$AE,6,0),"")</f>
        <v/>
      </c>
      <c r="AG26" t="str">
        <f>IFERROR(VLOOKUP($A26,[4]측정_24H데이타!$A:$AE,7,0),"")</f>
        <v/>
      </c>
      <c r="AH26" t="str">
        <f>IFERROR(VLOOKUP($A26,[4]측정_24H데이타!$A:$AE,8,0),"")</f>
        <v/>
      </c>
      <c r="AI26" t="str">
        <f>IFERROR(VLOOKUP($A26,[4]측정_24H데이타!$A:$AE,9,0),"")</f>
        <v/>
      </c>
      <c r="AJ26" t="str">
        <f>IFERROR(VLOOKUP($A26,[4]측정_24H데이타!$A:$AE,10,0),"")</f>
        <v/>
      </c>
      <c r="AK26" t="str">
        <f>IFERROR(VLOOKUP($A26,[4]측정_24H데이타!$A:$AE,11,0),"")</f>
        <v/>
      </c>
      <c r="AL26" t="str">
        <f>IFERROR(VLOOKUP($A26,[4]측정_24H데이타!$A:$AE,12,0),"")</f>
        <v/>
      </c>
      <c r="AM26" t="str">
        <f>IFERROR(VLOOKUP($A26,[4]측정_24H데이타!$A:$AE,13,0),"")</f>
        <v/>
      </c>
      <c r="AN26" t="str">
        <f>IFERROR(VLOOKUP($A26,[3]측정!$A:$AD,22,0),"")</f>
        <v/>
      </c>
      <c r="AO26" t="str">
        <f>IFERROR(VLOOKUP($A26,[3]측정!$A:$AD,23,0),"")</f>
        <v/>
      </c>
      <c r="AP26" t="str">
        <f>IFERROR(VLOOKUP($A26,[3]측정!$A:$AD,24,0),"")</f>
        <v/>
      </c>
      <c r="AQ26" t="str">
        <f>IFERROR(VLOOKUP($A26,[3]측정!$A:$AD,25,0),"")</f>
        <v/>
      </c>
      <c r="AR26" t="str">
        <f>IFERROR(VLOOKUP($A26,[3]측정!$A:$AD,26,0),"")</f>
        <v/>
      </c>
      <c r="AS26" t="str">
        <f>IFERROR(VLOOKUP($A26,[3]측정!$A:$AD,27,0),"")</f>
        <v/>
      </c>
      <c r="AT26" t="str">
        <f>IFERROR(VLOOKUP($A26,[3]측정!$A:$AD,28,0),"")</f>
        <v/>
      </c>
      <c r="AU26" t="str">
        <f>IFERROR(VLOOKUP($A26,[3]측정!$A:$AD,29,0),"")</f>
        <v/>
      </c>
      <c r="AV26" t="str">
        <f>IFERROR(VLOOKUP($A26,[3]측정!$A:$AD,30,0),"")</f>
        <v/>
      </c>
      <c r="AW26" t="str">
        <f>IFERROR(VLOOKUP($A26,[4]측정_24H데이타!$A:$AE,14,0),"")</f>
        <v/>
      </c>
      <c r="AX26" t="str">
        <f>IFERROR(VLOOKUP($A26,[4]측정_24H데이타!$A:$AE,15,0),"")</f>
        <v/>
      </c>
      <c r="AY26" t="str">
        <f>IFERROR(VLOOKUP($A26,[4]측정_24H데이타!$A:$AE,16,0),"")</f>
        <v/>
      </c>
      <c r="AZ26" t="str">
        <f>IFERROR(VLOOKUP($A26,[4]측정_24H데이타!$A:$AE,17,0),"")</f>
        <v/>
      </c>
      <c r="BA26" t="str">
        <f>IFERROR(VLOOKUP($A26,[4]측정_24H데이타!$A:$AE,18,0),"")</f>
        <v/>
      </c>
      <c r="BB26" t="str">
        <f>IFERROR(VLOOKUP($A26,[4]측정_24H데이타!$A:$AE,19,0),"")</f>
        <v/>
      </c>
      <c r="BC26" t="str">
        <f>IFERROR(VLOOKUP($A26,[4]측정_24H데이타!$A:$AE,20,0),"")</f>
        <v/>
      </c>
      <c r="BD26" t="str">
        <f>IFERROR(VLOOKUP($A26,[4]측정_24H데이타!$A:$AE,21,0),"")</f>
        <v/>
      </c>
      <c r="BE26" t="str">
        <f>IFERROR(VLOOKUP($A26,[4]측정_24H데이타!$A:$AE,22,0),"")</f>
        <v/>
      </c>
      <c r="BF26" t="str">
        <f>IFERROR(VLOOKUP($A26,[3]측정!$A:$AU,39,0),"")</f>
        <v/>
      </c>
      <c r="BG26" t="str">
        <f>IFERROR(VLOOKUP($A26,[3]측정!$A:$AU,40,0),"")</f>
        <v/>
      </c>
      <c r="BH26" t="str">
        <f>IFERROR(VLOOKUP($A26,[3]측정!$A:$AU,41,0),"")</f>
        <v/>
      </c>
      <c r="BI26" t="str">
        <f>IFERROR(VLOOKUP($A26,[3]측정!$A:$AU,42,0),"")</f>
        <v/>
      </c>
      <c r="BJ26" t="str">
        <f>IFERROR(VLOOKUP($A26,[3]측정!$A:$AU,43,0),"")</f>
        <v/>
      </c>
      <c r="BK26" t="str">
        <f>IFERROR(VLOOKUP($A26,[3]측정!$A:$AU,44,0),"")</f>
        <v/>
      </c>
      <c r="BL26" t="str">
        <f>IFERROR(VLOOKUP($A26,[3]측정!$A:$AU,45,0),"")</f>
        <v/>
      </c>
      <c r="BM26" t="str">
        <f>IFERROR(VLOOKUP($A26,[3]측정!$A:$AU,46,0),"")</f>
        <v/>
      </c>
      <c r="BN26" t="str">
        <f>IFERROR(VLOOKUP($A26,[3]측정!$A:$AU,47,0),"")</f>
        <v/>
      </c>
      <c r="BO26" t="str">
        <f>IFERROR(VLOOKUP($A26,[4]측정_24H데이타!$A:$AE,23,0),"")</f>
        <v/>
      </c>
      <c r="BP26" t="str">
        <f>IFERROR(VLOOKUP($A26,[4]측정_24H데이타!$A:$AE,24,0),"")</f>
        <v/>
      </c>
      <c r="BQ26" t="str">
        <f>IFERROR(VLOOKUP($A26,[4]측정_24H데이타!$A:$AE,25,0),"")</f>
        <v/>
      </c>
      <c r="BR26" t="str">
        <f>IFERROR(VLOOKUP($A26,[4]측정_24H데이타!$A:$AE,26,0),"")</f>
        <v/>
      </c>
      <c r="BS26" t="str">
        <f>IFERROR(VLOOKUP($A26,[4]측정_24H데이타!$A:$AE,27,0),"")</f>
        <v/>
      </c>
      <c r="BT26" t="str">
        <f>IFERROR(VLOOKUP($A26,[4]측정_24H데이타!$A:$AE,28,0),"")</f>
        <v/>
      </c>
      <c r="BU26" t="str">
        <f>IFERROR(VLOOKUP($A26,[4]측정_24H데이타!$A:$AE,29,0),"")</f>
        <v/>
      </c>
      <c r="BV26" t="str">
        <f>IFERROR(VLOOKUP($A26,[4]측정_24H데이타!$A:$AE,30,0),"")</f>
        <v/>
      </c>
      <c r="BW26" t="str">
        <f>IFERROR(VLOOKUP($A26,[4]측정_24H데이타!$A:$AE,31,0),"")</f>
        <v/>
      </c>
    </row>
    <row r="27" spans="12:75">
      <c r="L27" t="str">
        <f>IFERROR(VLOOKUP($A27,'[3]사출실험_CYCLE TIME'!$A:$H,8,0),"")</f>
        <v/>
      </c>
      <c r="M27" t="str">
        <f>IFERROR(VLOOKUP($A27,[3]측정!$A:$BL,56,0),"")</f>
        <v/>
      </c>
      <c r="N27" t="str">
        <f>IFERROR(VLOOKUP($A27,[3]측정!$A:$BL,57,0),"")</f>
        <v/>
      </c>
      <c r="O27" t="str">
        <f>IFERROR(VLOOKUP($A27,[3]측정!$A:$BL,58,0),"")</f>
        <v/>
      </c>
      <c r="P27" t="str">
        <f>IFERROR(VLOOKUP($A27,[3]측정!$A:$BL,59,0),"")</f>
        <v/>
      </c>
      <c r="Q27" t="str">
        <f>IFERROR(VLOOKUP($A27,[3]측정!$A:$BL,60,0),"")</f>
        <v/>
      </c>
      <c r="R27" t="str">
        <f>IFERROR(VLOOKUP($A27,[3]측정!$A:$BL,61,0),"")</f>
        <v/>
      </c>
      <c r="S27" t="str">
        <f>IFERROR(VLOOKUP($A27,[3]측정!$A:$BL,62,0),"")</f>
        <v/>
      </c>
      <c r="T27" t="str">
        <f>IFERROR(VLOOKUP($A27,[3]측정!$A:$BL,63,0),"")</f>
        <v/>
      </c>
      <c r="U27" t="str">
        <f>IFERROR(VLOOKUP($A27,[3]측정!$A:$BL,64,0),"")</f>
        <v/>
      </c>
      <c r="V27" t="str">
        <f>IFERROR(VLOOKUP($A27,[3]측정!$A:$M,5,0),"")</f>
        <v/>
      </c>
      <c r="W27" t="str">
        <f>IFERROR(VLOOKUP($A27,[3]측정!$A:$M,6,0),"")</f>
        <v/>
      </c>
      <c r="X27" t="str">
        <f>IFERROR(VLOOKUP($A27,[3]측정!$A:$M,7,0),"")</f>
        <v/>
      </c>
      <c r="Y27" t="str">
        <f>IFERROR(VLOOKUP($A27,[3]측정!$A:$M,8,0),"")</f>
        <v/>
      </c>
      <c r="Z27" t="str">
        <f>IFERROR(VLOOKUP($A27,[3]측정!$A:$M,9,0),"")</f>
        <v/>
      </c>
      <c r="AA27" t="str">
        <f>IFERROR(VLOOKUP($A27,[3]측정!$A:$M,10,0),"")</f>
        <v/>
      </c>
      <c r="AB27" t="str">
        <f>IFERROR(VLOOKUP($A27,[3]측정!$A:$M,11,0),"")</f>
        <v/>
      </c>
      <c r="AC27" t="str">
        <f>IFERROR(VLOOKUP($A27,[3]측정!$A:$M,12,0),"")</f>
        <v/>
      </c>
      <c r="AD27" t="str">
        <f>IFERROR(VLOOKUP($A27,[3]측정!$A:$M,13,0),"")</f>
        <v/>
      </c>
      <c r="AE27" t="str">
        <f>IFERROR(VLOOKUP($A27,[4]측정_24H데이타!$A:$AE,5,0),"")</f>
        <v/>
      </c>
      <c r="AF27" t="str">
        <f>IFERROR(VLOOKUP($A27,[4]측정_24H데이타!$A:$AE,6,0),"")</f>
        <v/>
      </c>
      <c r="AG27" t="str">
        <f>IFERROR(VLOOKUP($A27,[4]측정_24H데이타!$A:$AE,7,0),"")</f>
        <v/>
      </c>
      <c r="AH27" t="str">
        <f>IFERROR(VLOOKUP($A27,[4]측정_24H데이타!$A:$AE,8,0),"")</f>
        <v/>
      </c>
      <c r="AI27" t="str">
        <f>IFERROR(VLOOKUP($A27,[4]측정_24H데이타!$A:$AE,9,0),"")</f>
        <v/>
      </c>
      <c r="AJ27" t="str">
        <f>IFERROR(VLOOKUP($A27,[4]측정_24H데이타!$A:$AE,10,0),"")</f>
        <v/>
      </c>
      <c r="AK27" t="str">
        <f>IFERROR(VLOOKUP($A27,[4]측정_24H데이타!$A:$AE,11,0),"")</f>
        <v/>
      </c>
      <c r="AL27" t="str">
        <f>IFERROR(VLOOKUP($A27,[4]측정_24H데이타!$A:$AE,12,0),"")</f>
        <v/>
      </c>
      <c r="AM27" t="str">
        <f>IFERROR(VLOOKUP($A27,[4]측정_24H데이타!$A:$AE,13,0),"")</f>
        <v/>
      </c>
      <c r="AN27" t="str">
        <f>IFERROR(VLOOKUP($A27,[3]측정!$A:$AD,22,0),"")</f>
        <v/>
      </c>
      <c r="AO27" t="str">
        <f>IFERROR(VLOOKUP($A27,[3]측정!$A:$AD,23,0),"")</f>
        <v/>
      </c>
      <c r="AP27" t="str">
        <f>IFERROR(VLOOKUP($A27,[3]측정!$A:$AD,24,0),"")</f>
        <v/>
      </c>
      <c r="AQ27" t="str">
        <f>IFERROR(VLOOKUP($A27,[3]측정!$A:$AD,25,0),"")</f>
        <v/>
      </c>
      <c r="AR27" t="str">
        <f>IFERROR(VLOOKUP($A27,[3]측정!$A:$AD,26,0),"")</f>
        <v/>
      </c>
      <c r="AS27" t="str">
        <f>IFERROR(VLOOKUP($A27,[3]측정!$A:$AD,27,0),"")</f>
        <v/>
      </c>
      <c r="AT27" t="str">
        <f>IFERROR(VLOOKUP($A27,[3]측정!$A:$AD,28,0),"")</f>
        <v/>
      </c>
      <c r="AU27" t="str">
        <f>IFERROR(VLOOKUP($A27,[3]측정!$A:$AD,29,0),"")</f>
        <v/>
      </c>
      <c r="AV27" t="str">
        <f>IFERROR(VLOOKUP($A27,[3]측정!$A:$AD,30,0),"")</f>
        <v/>
      </c>
      <c r="AW27" t="str">
        <f>IFERROR(VLOOKUP($A27,[4]측정_24H데이타!$A:$AE,14,0),"")</f>
        <v/>
      </c>
      <c r="AX27" t="str">
        <f>IFERROR(VLOOKUP($A27,[4]측정_24H데이타!$A:$AE,15,0),"")</f>
        <v/>
      </c>
      <c r="AY27" t="str">
        <f>IFERROR(VLOOKUP($A27,[4]측정_24H데이타!$A:$AE,16,0),"")</f>
        <v/>
      </c>
      <c r="AZ27" t="str">
        <f>IFERROR(VLOOKUP($A27,[4]측정_24H데이타!$A:$AE,17,0),"")</f>
        <v/>
      </c>
      <c r="BA27" t="str">
        <f>IFERROR(VLOOKUP($A27,[4]측정_24H데이타!$A:$AE,18,0),"")</f>
        <v/>
      </c>
      <c r="BB27" t="str">
        <f>IFERROR(VLOOKUP($A27,[4]측정_24H데이타!$A:$AE,19,0),"")</f>
        <v/>
      </c>
      <c r="BC27" t="str">
        <f>IFERROR(VLOOKUP($A27,[4]측정_24H데이타!$A:$AE,20,0),"")</f>
        <v/>
      </c>
      <c r="BD27" t="str">
        <f>IFERROR(VLOOKUP($A27,[4]측정_24H데이타!$A:$AE,21,0),"")</f>
        <v/>
      </c>
      <c r="BE27" t="str">
        <f>IFERROR(VLOOKUP($A27,[4]측정_24H데이타!$A:$AE,22,0),"")</f>
        <v/>
      </c>
      <c r="BF27" t="str">
        <f>IFERROR(VLOOKUP($A27,[3]측정!$A:$AU,39,0),"")</f>
        <v/>
      </c>
      <c r="BG27" t="str">
        <f>IFERROR(VLOOKUP($A27,[3]측정!$A:$AU,40,0),"")</f>
        <v/>
      </c>
      <c r="BH27" t="str">
        <f>IFERROR(VLOOKUP($A27,[3]측정!$A:$AU,41,0),"")</f>
        <v/>
      </c>
      <c r="BI27" t="str">
        <f>IFERROR(VLOOKUP($A27,[3]측정!$A:$AU,42,0),"")</f>
        <v/>
      </c>
      <c r="BJ27" t="str">
        <f>IFERROR(VLOOKUP($A27,[3]측정!$A:$AU,43,0),"")</f>
        <v/>
      </c>
      <c r="BK27" t="str">
        <f>IFERROR(VLOOKUP($A27,[3]측정!$A:$AU,44,0),"")</f>
        <v/>
      </c>
      <c r="BL27" t="str">
        <f>IFERROR(VLOOKUP($A27,[3]측정!$A:$AU,45,0),"")</f>
        <v/>
      </c>
      <c r="BM27" t="str">
        <f>IFERROR(VLOOKUP($A27,[3]측정!$A:$AU,46,0),"")</f>
        <v/>
      </c>
      <c r="BN27" t="str">
        <f>IFERROR(VLOOKUP($A27,[3]측정!$A:$AU,47,0),"")</f>
        <v/>
      </c>
      <c r="BO27" t="str">
        <f>IFERROR(VLOOKUP($A27,[4]측정_24H데이타!$A:$AE,23,0),"")</f>
        <v/>
      </c>
      <c r="BP27" t="str">
        <f>IFERROR(VLOOKUP($A27,[4]측정_24H데이타!$A:$AE,24,0),"")</f>
        <v/>
      </c>
      <c r="BQ27" t="str">
        <f>IFERROR(VLOOKUP($A27,[4]측정_24H데이타!$A:$AE,25,0),"")</f>
        <v/>
      </c>
      <c r="BR27" t="str">
        <f>IFERROR(VLOOKUP($A27,[4]측정_24H데이타!$A:$AE,26,0),"")</f>
        <v/>
      </c>
      <c r="BS27" t="str">
        <f>IFERROR(VLOOKUP($A27,[4]측정_24H데이타!$A:$AE,27,0),"")</f>
        <v/>
      </c>
      <c r="BT27" t="str">
        <f>IFERROR(VLOOKUP($A27,[4]측정_24H데이타!$A:$AE,28,0),"")</f>
        <v/>
      </c>
      <c r="BU27" t="str">
        <f>IFERROR(VLOOKUP($A27,[4]측정_24H데이타!$A:$AE,29,0),"")</f>
        <v/>
      </c>
      <c r="BV27" t="str">
        <f>IFERROR(VLOOKUP($A27,[4]측정_24H데이타!$A:$AE,30,0),"")</f>
        <v/>
      </c>
      <c r="BW27" t="str">
        <f>IFERROR(VLOOKUP($A27,[4]측정_24H데이타!$A:$AE,31,0),"")</f>
        <v/>
      </c>
    </row>
    <row r="28" spans="12:75">
      <c r="M28" t="str">
        <f>IFERROR(VLOOKUP($A28,#REF!,5,0),"")</f>
        <v/>
      </c>
      <c r="N28" t="str">
        <f>IFERROR(VLOOKUP($A28,#REF!,6,0),"")</f>
        <v/>
      </c>
      <c r="O28" t="str">
        <f>IFERROR(VLOOKUP($A28,#REF!,7,0),"")</f>
        <v/>
      </c>
      <c r="P28" t="str">
        <f>IFERROR(VLOOKUP($A28,#REF!,8,0),"")</f>
        <v/>
      </c>
      <c r="Q28" t="str">
        <f>IFERROR(VLOOKUP($A28,#REF!,9,0),"")</f>
        <v/>
      </c>
      <c r="R28" t="str">
        <f>IFERROR(VLOOKUP($A28,#REF!,10,0),"")</f>
        <v/>
      </c>
      <c r="S28" t="str">
        <f>IFERROR(VLOOKUP($A28,#REF!,11,0),"")</f>
        <v/>
      </c>
      <c r="T28" t="str">
        <f>IFERROR(VLOOKUP($A28,#REF!,12,0),"")</f>
        <v/>
      </c>
      <c r="U28" t="str">
        <f>IFERROR(VLOOKUP($A28,#REF!,13,0),"")</f>
        <v/>
      </c>
      <c r="V28" t="str">
        <f>IFERROR(VLOOKUP($A28,[3]측정!$A:$M,5,0),"")</f>
        <v/>
      </c>
      <c r="W28" t="str">
        <f>IFERROR(VLOOKUP($A28,[3]측정!$A:$M,6,0),"")</f>
        <v/>
      </c>
      <c r="X28" t="str">
        <f>IFERROR(VLOOKUP($A28,[3]측정!$A:$M,7,0),"")</f>
        <v/>
      </c>
      <c r="Y28" t="str">
        <f>IFERROR(VLOOKUP($A28,[3]측정!$A:$M,8,0),"")</f>
        <v/>
      </c>
      <c r="Z28" t="str">
        <f>IFERROR(VLOOKUP($A28,[3]측정!$A:$M,9,0),"")</f>
        <v/>
      </c>
      <c r="AA28" t="str">
        <f>IFERROR(VLOOKUP($A28,[3]측정!$A:$M,10,0),"")</f>
        <v/>
      </c>
      <c r="AB28" t="str">
        <f>IFERROR(VLOOKUP($A28,[3]측정!$A:$M,11,0),"")</f>
        <v/>
      </c>
      <c r="AC28" t="str">
        <f>IFERROR(VLOOKUP($A28,[3]측정!$A:$M,12,0),"")</f>
        <v/>
      </c>
      <c r="AD28" t="str">
        <f>IFERROR(VLOOKUP($A28,[3]측정!$A:$M,13,0),"")</f>
        <v/>
      </c>
      <c r="AE28" t="str">
        <f>IFERROR(VLOOKUP($A28,[4]측정_24H데이타!$A:$AE,5,0),"")</f>
        <v/>
      </c>
      <c r="AF28" t="str">
        <f>IFERROR(VLOOKUP($A28,[4]측정_24H데이타!$A:$AE,6,0),"")</f>
        <v/>
      </c>
      <c r="AG28" t="str">
        <f>IFERROR(VLOOKUP($A28,[4]측정_24H데이타!$A:$AE,7,0),"")</f>
        <v/>
      </c>
      <c r="AH28" t="str">
        <f>IFERROR(VLOOKUP($A28,[4]측정_24H데이타!$A:$AE,8,0),"")</f>
        <v/>
      </c>
      <c r="AI28" t="str">
        <f>IFERROR(VLOOKUP($A28,[4]측정_24H데이타!$A:$AE,9,0),"")</f>
        <v/>
      </c>
      <c r="AJ28" t="str">
        <f>IFERROR(VLOOKUP($A28,[4]측정_24H데이타!$A:$AE,10,0),"")</f>
        <v/>
      </c>
      <c r="AK28" t="str">
        <f>IFERROR(VLOOKUP($A28,[4]측정_24H데이타!$A:$AE,11,0),"")</f>
        <v/>
      </c>
      <c r="AL28" t="str">
        <f>IFERROR(VLOOKUP($A28,[4]측정_24H데이타!$A:$AE,12,0),"")</f>
        <v/>
      </c>
      <c r="AM28" t="str">
        <f>IFERROR(VLOOKUP($A28,[4]측정_24H데이타!$A:$AE,13,0),"")</f>
        <v/>
      </c>
      <c r="AN28" t="str">
        <f>IFERROR(VLOOKUP($A28,[3]측정!$A:$AD,22,0),"")</f>
        <v/>
      </c>
      <c r="AO28" t="str">
        <f>IFERROR(VLOOKUP($A28,[3]측정!$A:$AD,23,0),"")</f>
        <v/>
      </c>
      <c r="AP28" t="str">
        <f>IFERROR(VLOOKUP($A28,[3]측정!$A:$AD,24,0),"")</f>
        <v/>
      </c>
      <c r="AQ28" t="str">
        <f>IFERROR(VLOOKUP($A28,[3]측정!$A:$AD,25,0),"")</f>
        <v/>
      </c>
      <c r="AR28" t="str">
        <f>IFERROR(VLOOKUP($A28,[3]측정!$A:$AD,26,0),"")</f>
        <v/>
      </c>
      <c r="AS28" t="str">
        <f>IFERROR(VLOOKUP($A28,[3]측정!$A:$AD,27,0),"")</f>
        <v/>
      </c>
      <c r="AT28" t="str">
        <f>IFERROR(VLOOKUP($A28,[3]측정!$A:$AD,28,0),"")</f>
        <v/>
      </c>
      <c r="AU28" t="str">
        <f>IFERROR(VLOOKUP($A28,[3]측정!$A:$AD,29,0),"")</f>
        <v/>
      </c>
      <c r="AV28" t="str">
        <f>IFERROR(VLOOKUP($A28,[3]측정!$A:$AD,30,0),"")</f>
        <v/>
      </c>
      <c r="AW28" t="str">
        <f>IFERROR(VLOOKUP($A28,[4]측정_24H데이타!$A:$AE,14,0),"")</f>
        <v/>
      </c>
      <c r="AX28" t="str">
        <f>IFERROR(VLOOKUP($A28,[4]측정_24H데이타!$A:$AE,15,0),"")</f>
        <v/>
      </c>
      <c r="AY28" t="str">
        <f>IFERROR(VLOOKUP($A28,[4]측정_24H데이타!$A:$AE,16,0),"")</f>
        <v/>
      </c>
      <c r="AZ28" t="str">
        <f>IFERROR(VLOOKUP($A28,[4]측정_24H데이타!$A:$AE,17,0),"")</f>
        <v/>
      </c>
      <c r="BA28" t="str">
        <f>IFERROR(VLOOKUP($A28,[4]측정_24H데이타!$A:$AE,18,0),"")</f>
        <v/>
      </c>
      <c r="BB28" t="str">
        <f>IFERROR(VLOOKUP($A28,[4]측정_24H데이타!$A:$AE,19,0),"")</f>
        <v/>
      </c>
      <c r="BC28" t="str">
        <f>IFERROR(VLOOKUP($A28,[4]측정_24H데이타!$A:$AE,20,0),"")</f>
        <v/>
      </c>
      <c r="BD28" t="str">
        <f>IFERROR(VLOOKUP($A28,[4]측정_24H데이타!$A:$AE,21,0),"")</f>
        <v/>
      </c>
      <c r="BE28" t="str">
        <f>IFERROR(VLOOKUP($A28,[4]측정_24H데이타!$A:$AE,22,0),"")</f>
        <v/>
      </c>
      <c r="BF28" t="str">
        <f>IFERROR(VLOOKUP($A28,[3]측정!$A:$AU,39,0),"")</f>
        <v/>
      </c>
      <c r="BG28" t="str">
        <f>IFERROR(VLOOKUP($A28,[3]측정!$A:$AU,40,0),"")</f>
        <v/>
      </c>
      <c r="BH28" t="str">
        <f>IFERROR(VLOOKUP($A28,[3]측정!$A:$AU,41,0),"")</f>
        <v/>
      </c>
      <c r="BI28" t="str">
        <f>IFERROR(VLOOKUP($A28,[3]측정!$A:$AU,42,0),"")</f>
        <v/>
      </c>
      <c r="BJ28" t="str">
        <f>IFERROR(VLOOKUP($A28,[3]측정!$A:$AU,43,0),"")</f>
        <v/>
      </c>
      <c r="BK28" t="str">
        <f>IFERROR(VLOOKUP($A28,[3]측정!$A:$AU,44,0),"")</f>
        <v/>
      </c>
      <c r="BL28" t="str">
        <f>IFERROR(VLOOKUP($A28,[3]측정!$A:$AU,45,0),"")</f>
        <v/>
      </c>
      <c r="BM28" t="str">
        <f>IFERROR(VLOOKUP($A28,[3]측정!$A:$AU,46,0),"")</f>
        <v/>
      </c>
      <c r="BN28" t="str">
        <f>IFERROR(VLOOKUP($A28,[3]측정!$A:$AU,47,0),"")</f>
        <v/>
      </c>
      <c r="BO28" t="str">
        <f>IFERROR(VLOOKUP($A28,[4]측정_24H데이타!$A:$AE,23,0),"")</f>
        <v/>
      </c>
      <c r="BP28" t="str">
        <f>IFERROR(VLOOKUP($A28,[4]측정_24H데이타!$A:$AE,24,0),"")</f>
        <v/>
      </c>
      <c r="BQ28" t="str">
        <f>IFERROR(VLOOKUP($A28,[4]측정_24H데이타!$A:$AE,25,0),"")</f>
        <v/>
      </c>
      <c r="BR28" t="str">
        <f>IFERROR(VLOOKUP($A28,[4]측정_24H데이타!$A:$AE,26,0),"")</f>
        <v/>
      </c>
      <c r="BS28" t="str">
        <f>IFERROR(VLOOKUP($A28,[4]측정_24H데이타!$A:$AE,27,0),"")</f>
        <v/>
      </c>
      <c r="BT28" t="str">
        <f>IFERROR(VLOOKUP($A28,[4]측정_24H데이타!$A:$AE,28,0),"")</f>
        <v/>
      </c>
      <c r="BU28" t="str">
        <f>IFERROR(VLOOKUP($A28,[4]측정_24H데이타!$A:$AE,29,0),"")</f>
        <v/>
      </c>
      <c r="BV28" t="str">
        <f>IFERROR(VLOOKUP($A28,[4]측정_24H데이타!$A:$AE,30,0),"")</f>
        <v/>
      </c>
      <c r="BW28" t="str">
        <f>IFERROR(VLOOKUP($A28,[4]측정_24H데이타!$A:$AE,31,0),"")</f>
        <v/>
      </c>
    </row>
    <row r="29" spans="12:75">
      <c r="M29" t="str">
        <f>IFERROR(VLOOKUP($A29,#REF!,5,0),"")</f>
        <v/>
      </c>
      <c r="N29" t="str">
        <f>IFERROR(VLOOKUP($A29,#REF!,6,0),"")</f>
        <v/>
      </c>
      <c r="O29" t="str">
        <f>IFERROR(VLOOKUP($A29,#REF!,7,0),"")</f>
        <v/>
      </c>
      <c r="P29" t="str">
        <f>IFERROR(VLOOKUP($A29,#REF!,8,0),"")</f>
        <v/>
      </c>
      <c r="Q29" t="str">
        <f>IFERROR(VLOOKUP($A29,#REF!,9,0),"")</f>
        <v/>
      </c>
      <c r="R29" t="str">
        <f>IFERROR(VLOOKUP($A29,#REF!,10,0),"")</f>
        <v/>
      </c>
      <c r="S29" t="str">
        <f>IFERROR(VLOOKUP($A29,#REF!,11,0),"")</f>
        <v/>
      </c>
      <c r="T29" t="str">
        <f>IFERROR(VLOOKUP($A29,#REF!,12,0),"")</f>
        <v/>
      </c>
      <c r="U29" t="str">
        <f>IFERROR(VLOOKUP($A29,#REF!,13,0),"")</f>
        <v/>
      </c>
      <c r="V29" t="str">
        <f>IFERROR(VLOOKUP($A29,#REF!,5,0),"")</f>
        <v/>
      </c>
      <c r="W29" t="str">
        <f>IFERROR(VLOOKUP($A29,#REF!,6,0),"")</f>
        <v/>
      </c>
      <c r="X29" t="str">
        <f>IFERROR(VLOOKUP($A29,#REF!,7,0),"")</f>
        <v/>
      </c>
      <c r="Y29" t="str">
        <f>IFERROR(VLOOKUP($A29,#REF!,8,0),"")</f>
        <v/>
      </c>
      <c r="Z29" t="str">
        <f>IFERROR(VLOOKUP($A29,#REF!,9,0),"")</f>
        <v/>
      </c>
      <c r="AA29" t="str">
        <f>IFERROR(VLOOKUP($A29,#REF!,10,0),"")</f>
        <v/>
      </c>
      <c r="AB29" t="str">
        <f>IFERROR(VLOOKUP($A29,#REF!,11,0),"")</f>
        <v/>
      </c>
      <c r="AC29" t="str">
        <f>IFERROR(VLOOKUP($A29,#REF!,12,0),"")</f>
        <v/>
      </c>
      <c r="AD29" t="str">
        <f>IFERROR(VLOOKUP($A29,#REF!,13,0),"")</f>
        <v/>
      </c>
      <c r="AE29" t="str">
        <f>IFERROR(VLOOKUP($A29,[4]측정_24H데이타!$A:$AE,5,0),"")</f>
        <v/>
      </c>
      <c r="AF29" t="str">
        <f>IFERROR(VLOOKUP($A29,[4]측정_24H데이타!$A:$AE,6,0),"")</f>
        <v/>
      </c>
      <c r="AG29" t="str">
        <f>IFERROR(VLOOKUP($A29,[4]측정_24H데이타!$A:$AE,7,0),"")</f>
        <v/>
      </c>
      <c r="AH29" t="str">
        <f>IFERROR(VLOOKUP($A29,[4]측정_24H데이타!$A:$AE,8,0),"")</f>
        <v/>
      </c>
      <c r="AI29" t="str">
        <f>IFERROR(VLOOKUP($A29,[4]측정_24H데이타!$A:$AE,9,0),"")</f>
        <v/>
      </c>
      <c r="AJ29" t="str">
        <f>IFERROR(VLOOKUP($A29,[4]측정_24H데이타!$A:$AE,10,0),"")</f>
        <v/>
      </c>
      <c r="AK29" t="str">
        <f>IFERROR(VLOOKUP($A29,[4]측정_24H데이타!$A:$AE,11,0),"")</f>
        <v/>
      </c>
      <c r="AL29" t="str">
        <f>IFERROR(VLOOKUP($A29,[4]측정_24H데이타!$A:$AE,12,0),"")</f>
        <v/>
      </c>
      <c r="AM29" t="str">
        <f>IFERROR(VLOOKUP($A29,[4]측정_24H데이타!$A:$AE,13,0),"")</f>
        <v/>
      </c>
      <c r="AN29" t="str">
        <f>IFERROR(VLOOKUP($A29,[3]측정!$A:$AD,22,0),"")</f>
        <v/>
      </c>
      <c r="AO29" t="str">
        <f>IFERROR(VLOOKUP($A29,[3]측정!$A:$AD,23,0),"")</f>
        <v/>
      </c>
      <c r="AP29" t="str">
        <f>IFERROR(VLOOKUP($A29,[3]측정!$A:$AD,24,0),"")</f>
        <v/>
      </c>
      <c r="AQ29" t="str">
        <f>IFERROR(VLOOKUP($A29,[3]측정!$A:$AD,25,0),"")</f>
        <v/>
      </c>
      <c r="AR29" t="str">
        <f>IFERROR(VLOOKUP($A29,[3]측정!$A:$AD,26,0),"")</f>
        <v/>
      </c>
      <c r="AS29" t="str">
        <f>IFERROR(VLOOKUP($A29,[3]측정!$A:$AD,27,0),"")</f>
        <v/>
      </c>
      <c r="AT29" t="str">
        <f>IFERROR(VLOOKUP($A29,[3]측정!$A:$AD,28,0),"")</f>
        <v/>
      </c>
      <c r="AU29" t="str">
        <f>IFERROR(VLOOKUP($A29,[3]측정!$A:$AD,29,0),"")</f>
        <v/>
      </c>
      <c r="AV29" t="str">
        <f>IFERROR(VLOOKUP($A29,[3]측정!$A:$AD,30,0),"")</f>
        <v/>
      </c>
      <c r="AW29" t="str">
        <f>IFERROR(VLOOKUP($A29,[4]측정_24H데이타!$A:$AE,14,0),"")</f>
        <v/>
      </c>
      <c r="AX29" t="str">
        <f>IFERROR(VLOOKUP($A29,[4]측정_24H데이타!$A:$AE,15,0),"")</f>
        <v/>
      </c>
      <c r="AY29" t="str">
        <f>IFERROR(VLOOKUP($A29,[4]측정_24H데이타!$A:$AE,16,0),"")</f>
        <v/>
      </c>
      <c r="AZ29" t="str">
        <f>IFERROR(VLOOKUP($A29,[4]측정_24H데이타!$A:$AE,17,0),"")</f>
        <v/>
      </c>
      <c r="BA29" t="str">
        <f>IFERROR(VLOOKUP($A29,[4]측정_24H데이타!$A:$AE,18,0),"")</f>
        <v/>
      </c>
      <c r="BB29" t="str">
        <f>IFERROR(VLOOKUP($A29,[4]측정_24H데이타!$A:$AE,19,0),"")</f>
        <v/>
      </c>
      <c r="BC29" t="str">
        <f>IFERROR(VLOOKUP($A29,[4]측정_24H데이타!$A:$AE,20,0),"")</f>
        <v/>
      </c>
      <c r="BD29" t="str">
        <f>IFERROR(VLOOKUP($A29,[4]측정_24H데이타!$A:$AE,21,0),"")</f>
        <v/>
      </c>
      <c r="BE29" t="str">
        <f>IFERROR(VLOOKUP($A29,[4]측정_24H데이타!$A:$AE,22,0),"")</f>
        <v/>
      </c>
      <c r="BF29" t="str">
        <f>IFERROR(VLOOKUP($A29,[3]측정!$A:$AU,39,0),"")</f>
        <v/>
      </c>
      <c r="BG29" t="str">
        <f>IFERROR(VLOOKUP($A29,[3]측정!$A:$AU,40,0),"")</f>
        <v/>
      </c>
      <c r="BH29" t="str">
        <f>IFERROR(VLOOKUP($A29,[3]측정!$A:$AU,41,0),"")</f>
        <v/>
      </c>
      <c r="BI29" t="str">
        <f>IFERROR(VLOOKUP($A29,[3]측정!$A:$AU,42,0),"")</f>
        <v/>
      </c>
      <c r="BJ29" t="str">
        <f>IFERROR(VLOOKUP($A29,[3]측정!$A:$AU,43,0),"")</f>
        <v/>
      </c>
      <c r="BK29" t="str">
        <f>IFERROR(VLOOKUP($A29,[3]측정!$A:$AU,44,0),"")</f>
        <v/>
      </c>
      <c r="BL29" t="str">
        <f>IFERROR(VLOOKUP($A29,[3]측정!$A:$AU,45,0),"")</f>
        <v/>
      </c>
      <c r="BM29" t="str">
        <f>IFERROR(VLOOKUP($A29,[3]측정!$A:$AU,46,0),"")</f>
        <v/>
      </c>
      <c r="BN29" t="str">
        <f>IFERROR(VLOOKUP($A29,[3]측정!$A:$AU,47,0),"")</f>
        <v/>
      </c>
      <c r="BO29" t="str">
        <f>IFERROR(VLOOKUP($A29,[4]측정_24H데이타!$A:$AE,23,0),"")</f>
        <v/>
      </c>
      <c r="BP29" t="str">
        <f>IFERROR(VLOOKUP($A29,[4]측정_24H데이타!$A:$AE,24,0),"")</f>
        <v/>
      </c>
      <c r="BQ29" t="str">
        <f>IFERROR(VLOOKUP($A29,[4]측정_24H데이타!$A:$AE,25,0),"")</f>
        <v/>
      </c>
      <c r="BR29" t="str">
        <f>IFERROR(VLOOKUP($A29,[4]측정_24H데이타!$A:$AE,26,0),"")</f>
        <v/>
      </c>
      <c r="BS29" t="str">
        <f>IFERROR(VLOOKUP($A29,[4]측정_24H데이타!$A:$AE,27,0),"")</f>
        <v/>
      </c>
      <c r="BT29" t="str">
        <f>IFERROR(VLOOKUP($A29,[4]측정_24H데이타!$A:$AE,28,0),"")</f>
        <v/>
      </c>
      <c r="BU29" t="str">
        <f>IFERROR(VLOOKUP($A29,[4]측정_24H데이타!$A:$AE,29,0),"")</f>
        <v/>
      </c>
      <c r="BV29" t="str">
        <f>IFERROR(VLOOKUP($A29,[4]측정_24H데이타!$A:$AE,30,0),"")</f>
        <v/>
      </c>
      <c r="BW29" t="str">
        <f>IFERROR(VLOOKUP($A29,[4]측정_24H데이타!$A:$AE,31,0),"")</f>
        <v/>
      </c>
    </row>
    <row r="30" spans="12:75">
      <c r="M30" t="str">
        <f>IFERROR(VLOOKUP($A30,#REF!,5,0),"")</f>
        <v/>
      </c>
      <c r="N30" t="str">
        <f>IFERROR(VLOOKUP($A30,#REF!,6,0),"")</f>
        <v/>
      </c>
      <c r="O30" t="str">
        <f>IFERROR(VLOOKUP($A30,#REF!,7,0),"")</f>
        <v/>
      </c>
      <c r="P30" t="str">
        <f>IFERROR(VLOOKUP($A30,#REF!,8,0),"")</f>
        <v/>
      </c>
      <c r="Q30" t="str">
        <f>IFERROR(VLOOKUP($A30,#REF!,9,0),"")</f>
        <v/>
      </c>
      <c r="R30" t="str">
        <f>IFERROR(VLOOKUP($A30,#REF!,10,0),"")</f>
        <v/>
      </c>
      <c r="S30" t="str">
        <f>IFERROR(VLOOKUP($A30,#REF!,11,0),"")</f>
        <v/>
      </c>
      <c r="T30" t="str">
        <f>IFERROR(VLOOKUP($A30,#REF!,12,0),"")</f>
        <v/>
      </c>
      <c r="U30" t="str">
        <f>IFERROR(VLOOKUP($A30,#REF!,13,0),"")</f>
        <v/>
      </c>
      <c r="V30" t="str">
        <f>IFERROR(VLOOKUP($A30,#REF!,5,0),"")</f>
        <v/>
      </c>
      <c r="W30" t="str">
        <f>IFERROR(VLOOKUP($A30,#REF!,6,0),"")</f>
        <v/>
      </c>
      <c r="X30" t="str">
        <f>IFERROR(VLOOKUP($A30,#REF!,7,0),"")</f>
        <v/>
      </c>
      <c r="Y30" t="str">
        <f>IFERROR(VLOOKUP($A30,#REF!,8,0),"")</f>
        <v/>
      </c>
      <c r="Z30" t="str">
        <f>IFERROR(VLOOKUP($A30,#REF!,9,0),"")</f>
        <v/>
      </c>
      <c r="AA30" t="str">
        <f>IFERROR(VLOOKUP($A30,#REF!,10,0),"")</f>
        <v/>
      </c>
      <c r="AB30" t="str">
        <f>IFERROR(VLOOKUP($A30,#REF!,11,0),"")</f>
        <v/>
      </c>
      <c r="AC30" t="str">
        <f>IFERROR(VLOOKUP($A30,#REF!,12,0),"")</f>
        <v/>
      </c>
      <c r="AD30" t="str">
        <f>IFERROR(VLOOKUP($A30,#REF!,13,0),"")</f>
        <v/>
      </c>
      <c r="AE30" t="str">
        <f>IFERROR(VLOOKUP($A30,[4]측정_24H데이타!$A:$AE,5,0),"")</f>
        <v/>
      </c>
      <c r="AF30" t="str">
        <f>IFERROR(VLOOKUP($A30,[4]측정_24H데이타!$A:$AE,6,0),"")</f>
        <v/>
      </c>
      <c r="AG30" t="str">
        <f>IFERROR(VLOOKUP($A30,[4]측정_24H데이타!$A:$AE,7,0),"")</f>
        <v/>
      </c>
      <c r="AH30" t="str">
        <f>IFERROR(VLOOKUP($A30,[4]측정_24H데이타!$A:$AE,8,0),"")</f>
        <v/>
      </c>
      <c r="AI30" t="str">
        <f>IFERROR(VLOOKUP($A30,[4]측정_24H데이타!$A:$AE,9,0),"")</f>
        <v/>
      </c>
      <c r="AJ30" t="str">
        <f>IFERROR(VLOOKUP($A30,[4]측정_24H데이타!$A:$AE,10,0),"")</f>
        <v/>
      </c>
      <c r="AK30" t="str">
        <f>IFERROR(VLOOKUP($A30,[4]측정_24H데이타!$A:$AE,11,0),"")</f>
        <v/>
      </c>
      <c r="AL30" t="str">
        <f>IFERROR(VLOOKUP($A30,[4]측정_24H데이타!$A:$AE,12,0),"")</f>
        <v/>
      </c>
      <c r="AM30" t="str">
        <f>IFERROR(VLOOKUP($A30,[4]측정_24H데이타!$A:$AE,13,0),"")</f>
        <v/>
      </c>
      <c r="AN30" t="str">
        <f>IFERROR(VLOOKUP($A30,#REF!,5,0),"")</f>
        <v/>
      </c>
      <c r="AO30" t="str">
        <f>IFERROR(VLOOKUP($A30,#REF!,6,0),"")</f>
        <v/>
      </c>
      <c r="AP30" t="str">
        <f>IFERROR(VLOOKUP($A30,#REF!,7,0),"")</f>
        <v/>
      </c>
      <c r="AQ30" t="str">
        <f>IFERROR(VLOOKUP($A30,#REF!,8,0),"")</f>
        <v/>
      </c>
      <c r="AR30" t="str">
        <f>IFERROR(VLOOKUP($A30,#REF!,9,0),"")</f>
        <v/>
      </c>
      <c r="AS30" t="str">
        <f>IFERROR(VLOOKUP($A30,#REF!,10,0),"")</f>
        <v/>
      </c>
      <c r="AT30" t="str">
        <f>IFERROR(VLOOKUP($A30,#REF!,11,0),"")</f>
        <v/>
      </c>
      <c r="AU30" t="str">
        <f>IFERROR(VLOOKUP($A30,#REF!,12,0),"")</f>
        <v/>
      </c>
      <c r="AV30" t="str">
        <f>IFERROR(VLOOKUP($A30,#REF!,13,0),"")</f>
        <v/>
      </c>
      <c r="AW30" t="str">
        <f>IFERROR(VLOOKUP($A30,[4]측정_24H데이타!$A:$AE,14,0),"")</f>
        <v/>
      </c>
      <c r="AX30" t="str">
        <f>IFERROR(VLOOKUP($A30,[4]측정_24H데이타!$A:$AE,15,0),"")</f>
        <v/>
      </c>
      <c r="AY30" t="str">
        <f>IFERROR(VLOOKUP($A30,[4]측정_24H데이타!$A:$AE,16,0),"")</f>
        <v/>
      </c>
      <c r="AZ30" t="str">
        <f>IFERROR(VLOOKUP($A30,[4]측정_24H데이타!$A:$AE,17,0),"")</f>
        <v/>
      </c>
      <c r="BA30" t="str">
        <f>IFERROR(VLOOKUP($A30,[4]측정_24H데이타!$A:$AE,18,0),"")</f>
        <v/>
      </c>
      <c r="BB30" t="str">
        <f>IFERROR(VLOOKUP($A30,[4]측정_24H데이타!$A:$AE,19,0),"")</f>
        <v/>
      </c>
      <c r="BC30" t="str">
        <f>IFERROR(VLOOKUP($A30,[4]측정_24H데이타!$A:$AE,20,0),"")</f>
        <v/>
      </c>
      <c r="BD30" t="str">
        <f>IFERROR(VLOOKUP($A30,[4]측정_24H데이타!$A:$AE,21,0),"")</f>
        <v/>
      </c>
      <c r="BE30" t="str">
        <f>IFERROR(VLOOKUP($A30,[4]측정_24H데이타!$A:$AE,22,0),"")</f>
        <v/>
      </c>
      <c r="BF30" t="str">
        <f>IFERROR(VLOOKUP($A30,[3]측정!$A:$AU,39,0),"")</f>
        <v/>
      </c>
      <c r="BG30" t="str">
        <f>IFERROR(VLOOKUP($A30,[3]측정!$A:$AU,40,0),"")</f>
        <v/>
      </c>
      <c r="BH30" t="str">
        <f>IFERROR(VLOOKUP($A30,[3]측정!$A:$AU,41,0),"")</f>
        <v/>
      </c>
      <c r="BI30" t="str">
        <f>IFERROR(VLOOKUP($A30,[3]측정!$A:$AU,42,0),"")</f>
        <v/>
      </c>
      <c r="BJ30" t="str">
        <f>IFERROR(VLOOKUP($A30,[3]측정!$A:$AU,43,0),"")</f>
        <v/>
      </c>
      <c r="BK30" t="str">
        <f>IFERROR(VLOOKUP($A30,[3]측정!$A:$AU,44,0),"")</f>
        <v/>
      </c>
      <c r="BL30" t="str">
        <f>IFERROR(VLOOKUP($A30,[3]측정!$A:$AU,45,0),"")</f>
        <v/>
      </c>
      <c r="BM30" t="str">
        <f>IFERROR(VLOOKUP($A30,[3]측정!$A:$AU,46,0),"")</f>
        <v/>
      </c>
      <c r="BN30" t="str">
        <f>IFERROR(VLOOKUP($A30,[3]측정!$A:$AU,47,0),"")</f>
        <v/>
      </c>
      <c r="BO30" t="str">
        <f>IFERROR(VLOOKUP($A30,[4]측정_24H데이타!$A:$AE,23,0),"")</f>
        <v/>
      </c>
      <c r="BP30" t="str">
        <f>IFERROR(VLOOKUP($A30,[4]측정_24H데이타!$A:$AE,24,0),"")</f>
        <v/>
      </c>
      <c r="BQ30" t="str">
        <f>IFERROR(VLOOKUP($A30,[4]측정_24H데이타!$A:$AE,25,0),"")</f>
        <v/>
      </c>
      <c r="BR30" t="str">
        <f>IFERROR(VLOOKUP($A30,[4]측정_24H데이타!$A:$AE,26,0),"")</f>
        <v/>
      </c>
      <c r="BS30" t="str">
        <f>IFERROR(VLOOKUP($A30,[4]측정_24H데이타!$A:$AE,27,0),"")</f>
        <v/>
      </c>
      <c r="BT30" t="str">
        <f>IFERROR(VLOOKUP($A30,[4]측정_24H데이타!$A:$AE,28,0),"")</f>
        <v/>
      </c>
      <c r="BU30" t="str">
        <f>IFERROR(VLOOKUP($A30,[4]측정_24H데이타!$A:$AE,29,0),"")</f>
        <v/>
      </c>
      <c r="BV30" t="str">
        <f>IFERROR(VLOOKUP($A30,[4]측정_24H데이타!$A:$AE,30,0),"")</f>
        <v/>
      </c>
      <c r="BW30" t="str">
        <f>IFERROR(VLOOKUP($A30,[4]측정_24H데이타!$A:$AE,31,0),"")</f>
        <v/>
      </c>
    </row>
  </sheetData>
  <autoFilter ref="A2:BW2" xr:uid="{4C56E930-EC9D-4E2A-9A07-61D67FB947AC}"/>
  <phoneticPr fontId="1" type="noConversion"/>
  <conditionalFormatting sqref="A2">
    <cfRule type="duplicateValues" dxfId="16" priority="2"/>
    <cfRule type="duplicateValues" dxfId="15" priority="3"/>
  </conditionalFormatting>
  <conditionalFormatting sqref="B2">
    <cfRule type="duplicateValues" dxfId="14" priority="1"/>
  </conditionalFormatting>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EA0DFEE4-9F41-4016-839E-BF1DBE61342D}">
          <x14:formula1>
            <xm:f>실험지시_김도균!$D:$D</xm:f>
          </x14:formula1>
          <xm:sqref>A1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6990C-3524-4008-BF9B-1E6664572A12}">
  <sheetPr codeName="Sheet15">
    <pageSetUpPr fitToPage="1"/>
  </sheetPr>
  <dimension ref="A1:Q59"/>
  <sheetViews>
    <sheetView zoomScale="120" zoomScaleNormal="120" zoomScaleSheetLayoutView="100" workbookViewId="0">
      <pane xSplit="13" ySplit="8" topLeftCell="N9" activePane="bottomRight" state="frozen"/>
      <selection activeCell="B4" sqref="B4"/>
      <selection pane="topRight" activeCell="B4" sqref="B4"/>
      <selection pane="bottomLeft" activeCell="B4" sqref="B4"/>
      <selection pane="bottomRight" activeCell="F10" sqref="F10"/>
    </sheetView>
  </sheetViews>
  <sheetFormatPr defaultRowHeight="16.5"/>
  <cols>
    <col min="1" max="1" width="21.375" customWidth="1"/>
    <col min="2" max="2" width="10.625" customWidth="1"/>
    <col min="3" max="3" width="9.125" customWidth="1"/>
    <col min="4" max="4" width="10.125" customWidth="1"/>
    <col min="6" max="6" width="8.875" customWidth="1"/>
    <col min="8" max="8" width="9.125" customWidth="1"/>
    <col min="16" max="16" width="16.125" bestFit="1" customWidth="1"/>
  </cols>
  <sheetData>
    <row r="1" spans="1:17" ht="17.25" thickBot="1">
      <c r="A1" s="75" t="s">
        <v>1842</v>
      </c>
      <c r="C1" s="49" t="str">
        <f>LEFT($A$1, FIND("_", $A$1) - 1)</f>
        <v>SI1616</v>
      </c>
      <c r="D1" t="str">
        <f>IF(VLOOKUP($A$1,실험지시_김도균!$A:$Q,11,0)="",LEFT($A$1,FIND("_",$A$1)-1),LEFT($A$1,FIND("_",$A$1)-1)&amp;"_"&amp;VLOOKUP($A$1,실험지시_김도균!$A:$Q,11,0))</f>
        <v>SI1616_250930</v>
      </c>
    </row>
    <row r="2" spans="1:17">
      <c r="A2" s="50"/>
      <c r="B2" s="51"/>
      <c r="C2" s="52"/>
      <c r="D2" s="51"/>
      <c r="E2" s="51"/>
      <c r="F2" s="51"/>
      <c r="G2" s="51"/>
      <c r="H2" s="51"/>
      <c r="I2" s="51"/>
      <c r="J2" s="51"/>
      <c r="K2" s="51"/>
      <c r="L2" s="51"/>
      <c r="M2" s="53"/>
    </row>
    <row r="3" spans="1:17" ht="31.5">
      <c r="A3" s="148" t="s">
        <v>301</v>
      </c>
      <c r="B3" s="149"/>
      <c r="C3" s="149"/>
      <c r="D3" s="149"/>
      <c r="E3" s="149"/>
      <c r="F3" s="149"/>
      <c r="G3" s="149"/>
      <c r="H3" s="149"/>
      <c r="I3" s="149"/>
      <c r="J3" s="149"/>
      <c r="K3" s="149"/>
      <c r="L3" s="149"/>
      <c r="M3" s="6"/>
    </row>
    <row r="4" spans="1:17">
      <c r="A4" s="41" t="s">
        <v>168</v>
      </c>
      <c r="B4" s="150">
        <f>VLOOKUP($A$1,실험지시_김도균!$A:$F,5,0)</f>
        <v>46078</v>
      </c>
      <c r="C4" s="150"/>
      <c r="D4" s="54"/>
      <c r="E4" s="54"/>
      <c r="F4" s="84" t="s">
        <v>167</v>
      </c>
      <c r="G4" s="54">
        <f>VLOOKUP($A$1,실험지시_김도균!$A:$F,6,0)</f>
        <v>0</v>
      </c>
      <c r="H4" s="54"/>
      <c r="I4" s="54"/>
      <c r="J4" s="54"/>
      <c r="K4" s="151"/>
      <c r="L4" s="151"/>
      <c r="M4" s="152"/>
      <c r="N4" s="54"/>
      <c r="O4" s="54"/>
      <c r="P4" s="54"/>
      <c r="Q4" s="54"/>
    </row>
    <row r="5" spans="1:17" ht="16.899999999999999" customHeight="1">
      <c r="A5" s="153" t="s">
        <v>29</v>
      </c>
      <c r="B5" s="20" t="s">
        <v>1</v>
      </c>
      <c r="C5" s="154" t="str">
        <f>INDEX([1]BOM_개발품목!$B:$B,MATCH($C$1,[1]BOM_개발품목!$D:$D,0))</f>
        <v>A6867</v>
      </c>
      <c r="D5" s="154"/>
      <c r="E5" s="154"/>
      <c r="F5" s="154"/>
      <c r="G5" s="155" t="s">
        <v>30</v>
      </c>
      <c r="H5" s="155"/>
      <c r="I5" s="156" t="str">
        <f>INDEX([1]BOM_개발품목!$P:$P,MATCH($C$1,[1]BOM_개발품목!$D:$D,0))</f>
        <v>보람정밀</v>
      </c>
      <c r="J5" s="156" t="str">
        <f>INDEX([1]BOM_개발품목!$N:$N,MATCH($C$1,[1]BOM_개발품목!$D:$D,0))</f>
        <v>이윤희</v>
      </c>
      <c r="K5" s="29" t="s">
        <v>31</v>
      </c>
      <c r="L5" s="157">
        <f>IFERROR(IF(Q17&gt;Q18,Q17,Q18),"")</f>
        <v>6.04</v>
      </c>
      <c r="M5" s="158"/>
    </row>
    <row r="6" spans="1:17" ht="16.899999999999999" customHeight="1">
      <c r="A6" s="153"/>
      <c r="B6" s="20" t="s">
        <v>78</v>
      </c>
      <c r="C6" s="159" t="str">
        <f>VLOOKUP($A$1,실험지시_김도균!$A:$T,2,0)</f>
        <v>설화수 진설명작크림 60ML (26AD 사출덮개</v>
      </c>
      <c r="D6" s="159"/>
      <c r="E6" s="159"/>
      <c r="F6" s="159"/>
      <c r="G6" s="155" t="s">
        <v>32</v>
      </c>
      <c r="H6" s="155"/>
      <c r="I6" s="160" t="s">
        <v>16</v>
      </c>
      <c r="J6" s="160"/>
      <c r="K6" s="29" t="s">
        <v>33</v>
      </c>
      <c r="L6" s="157">
        <f>IFERROR(Q8,"")</f>
        <v>8.26</v>
      </c>
      <c r="M6" s="158"/>
    </row>
    <row r="7" spans="1:17" ht="16.899999999999999" customHeight="1">
      <c r="A7" s="153"/>
      <c r="B7" s="21" t="s">
        <v>34</v>
      </c>
      <c r="C7" s="130" t="str">
        <f>INDEX([1]BOM_개발품목!$N:$N,MATCH($C$1,[1]BOM_개발품목!$D:$D,0))</f>
        <v>이윤희</v>
      </c>
      <c r="D7" s="56" t="s">
        <v>173</v>
      </c>
      <c r="E7" s="161" t="str">
        <f>VLOOKUP($A$1,실험지시_김도균!$A:$Q,12,0)</f>
        <v>M251186_01</v>
      </c>
      <c r="F7" s="161"/>
      <c r="G7" s="155" t="s">
        <v>35</v>
      </c>
      <c r="H7" s="155"/>
      <c r="I7" s="162" t="str">
        <f>INDEX([1]BOM_개발품목!$O:$O,MATCH($C$1,[1]BOM_개발품목!$D:$D,0))</f>
        <v>리드개발/남호근</v>
      </c>
      <c r="J7" s="162" t="str">
        <f>INDEX([1]BOM_개발품목!$N:$N,MATCH($C$1,[1]BOM_개발품목!$D:$D,0))</f>
        <v>이윤희</v>
      </c>
      <c r="K7" s="22" t="s">
        <v>37</v>
      </c>
      <c r="L7" s="163" t="str">
        <f>"1X"&amp;INDEX([1]BOM_개발품목!$F:$F,MATCH($C$1,[1]BOM_개발품목!$D:$D,0))</f>
        <v>1X2</v>
      </c>
      <c r="M7" s="164"/>
    </row>
    <row r="8" spans="1:17" ht="16.899999999999999" customHeight="1">
      <c r="A8" s="153"/>
      <c r="B8" s="20" t="s">
        <v>166</v>
      </c>
      <c r="C8" s="55">
        <f>VLOOKUP(E8,'[2]사출기 및 로보트 현황'!$A:$B,2,0)</f>
        <v>150</v>
      </c>
      <c r="D8" s="29" t="s">
        <v>36</v>
      </c>
      <c r="E8" s="165">
        <f>VLOOKUP($A$1,실험지시_김도균!$A:$J,10,0)</f>
        <v>20</v>
      </c>
      <c r="F8" s="165"/>
      <c r="G8" s="166" t="s">
        <v>38</v>
      </c>
      <c r="H8" s="166"/>
      <c r="I8" s="167" t="str">
        <f>VLOOKUP($A$1,실험지시_김도균!$A:$J,7,0)</f>
        <v>Hytrel (Dupont H7246)</v>
      </c>
      <c r="J8" s="167"/>
      <c r="K8" s="29" t="s">
        <v>39</v>
      </c>
      <c r="L8" s="168" t="str">
        <f>VLOOKUP($A$1,실험지시_김도균!$A:$J,8,0)&amp;"  "&amp;VLOOKUP($A$1,실험지시_김도균!$A:$J,9,0)&amp;"%"</f>
        <v>250923-7  6%</v>
      </c>
      <c r="M8" s="169"/>
      <c r="P8" s="28" t="s">
        <v>33</v>
      </c>
      <c r="Q8" s="30">
        <f>VLOOKUP($A$1,[3]측정!$A:$BL,56,0)</f>
        <v>8.26</v>
      </c>
    </row>
    <row r="9" spans="1:17">
      <c r="A9" s="7"/>
      <c r="K9" s="170"/>
      <c r="L9" s="170"/>
      <c r="M9" s="171"/>
      <c r="P9" s="28" t="s">
        <v>127</v>
      </c>
      <c r="Q9" s="38">
        <f>VLOOKUP($A$1,[3]측정!$A:$BL,57,0)</f>
        <v>6.02</v>
      </c>
    </row>
    <row r="10" spans="1:17">
      <c r="A10" s="7"/>
      <c r="M10" s="6"/>
      <c r="P10" s="28" t="s">
        <v>128</v>
      </c>
      <c r="Q10" s="38">
        <f>VLOOKUP($A$1,[3]측정!$A:$BL,58,0)</f>
        <v>6.04</v>
      </c>
    </row>
    <row r="11" spans="1:17">
      <c r="A11" s="7"/>
      <c r="M11" s="6"/>
      <c r="P11" s="28" t="s">
        <v>129</v>
      </c>
      <c r="Q11" s="38">
        <f>VLOOKUP($A$1,[3]측정!$A:$BL,59,0)</f>
        <v>0</v>
      </c>
    </row>
    <row r="12" spans="1:17" ht="16.899999999999999" customHeight="1">
      <c r="A12" s="204" t="s">
        <v>40</v>
      </c>
      <c r="B12" s="205" t="s">
        <v>25</v>
      </c>
      <c r="C12" s="8" t="s">
        <v>41</v>
      </c>
      <c r="D12" s="8">
        <v>10</v>
      </c>
      <c r="E12" s="8">
        <v>9</v>
      </c>
      <c r="F12" s="8">
        <v>8</v>
      </c>
      <c r="G12" s="8">
        <v>7</v>
      </c>
      <c r="H12" s="8">
        <v>6</v>
      </c>
      <c r="I12" s="8">
        <v>5</v>
      </c>
      <c r="J12" s="8">
        <v>4</v>
      </c>
      <c r="K12" s="8">
        <v>3</v>
      </c>
      <c r="L12" s="8">
        <v>2</v>
      </c>
      <c r="M12" s="26">
        <v>1</v>
      </c>
      <c r="P12" s="28" t="s">
        <v>130</v>
      </c>
      <c r="Q12" s="38">
        <f>VLOOKUP($A$1,[3]측정!$A:$BL,60,0)</f>
        <v>0</v>
      </c>
    </row>
    <row r="13" spans="1:17" ht="16.899999999999999" customHeight="1">
      <c r="A13" s="204"/>
      <c r="B13" s="205"/>
      <c r="C13" s="9" t="s">
        <v>42</v>
      </c>
      <c r="D13" s="16">
        <f>IFERROR(VLOOKUP($A$1,[3]사출실험_사출!$A:$AF,12,0),"")</f>
        <v>0</v>
      </c>
      <c r="E13" s="16">
        <f>IFERROR(VLOOKUP($A$1,[3]사출실험_사출!$A:$AF,11,0),"")</f>
        <v>0</v>
      </c>
      <c r="F13" s="16">
        <f>IFERROR(VLOOKUP($A$1,[3]사출실험_사출!$A:$AF,10,0),"")</f>
        <v>0</v>
      </c>
      <c r="G13" s="16">
        <f>IFERROR(VLOOKUP($A$1,[3]사출실험_사출!$A:$AF,9,0),"")</f>
        <v>0</v>
      </c>
      <c r="H13" s="16">
        <f>IFERROR(VLOOKUP($A$1,[3]사출실험_사출!$A:$AF,8,0),"")</f>
        <v>0</v>
      </c>
      <c r="I13" s="16">
        <f>IFERROR(VLOOKUP($A$1,[3]사출실험_사출!$A:$AF,7,0),"")</f>
        <v>25</v>
      </c>
      <c r="J13" s="16">
        <f>IFERROR(VLOOKUP($A$1,[3]사출실험_사출!$A:$AF,6,0),"")</f>
        <v>35</v>
      </c>
      <c r="K13" s="16">
        <f>IFERROR(VLOOKUP($A$1,[3]사출실험_사출!$A:$AF,5,0),"")</f>
        <v>35</v>
      </c>
      <c r="L13" s="16">
        <f>IFERROR(VLOOKUP($A$1,[3]사출실험_사출!$A:$AF,4,0),"")</f>
        <v>35</v>
      </c>
      <c r="M13" s="27">
        <f>IFERROR(VLOOKUP($A$1,[3]사출실험_사출!$A:$AF,3,0),"")</f>
        <v>33</v>
      </c>
      <c r="P13" s="28" t="s">
        <v>131</v>
      </c>
      <c r="Q13" s="38">
        <f>VLOOKUP($A$1,[3]측정!$A:$BL,61,0)</f>
        <v>0</v>
      </c>
    </row>
    <row r="14" spans="1:17" ht="16.899999999999999" customHeight="1">
      <c r="A14" s="204"/>
      <c r="B14" s="205"/>
      <c r="C14" s="8" t="s">
        <v>43</v>
      </c>
      <c r="D14" s="16">
        <f>IFERROR(VLOOKUP($A$1,[3]사출실험_사출!$A:$AF,22,0),"")</f>
        <v>0</v>
      </c>
      <c r="E14" s="16">
        <f>IFERROR(VLOOKUP($A$1,[3]사출실험_사출!$A:$AF,21,0),"")</f>
        <v>0</v>
      </c>
      <c r="F14" s="16">
        <f>IFERROR(VLOOKUP($A$1,[3]사출실험_사출!$A:$AF,20,0),"")</f>
        <v>0</v>
      </c>
      <c r="G14" s="16">
        <f>IFERROR(VLOOKUP($A$1,[3]사출실험_사출!$A:$AF,19,0),"")</f>
        <v>0</v>
      </c>
      <c r="H14" s="16">
        <f>IFERROR(VLOOKUP($A$1,[3]사출실험_사출!$A:$AF,18,0),"")</f>
        <v>0</v>
      </c>
      <c r="I14" s="16">
        <f>IFERROR(VLOOKUP($A$1,[3]사출실험_사출!$A:$AF,17,0),"")</f>
        <v>145</v>
      </c>
      <c r="J14" s="16">
        <f>IFERROR(VLOOKUP($A$1,[3]사출실험_사출!$A:$AF,16,0),"")</f>
        <v>145</v>
      </c>
      <c r="K14" s="16">
        <f>IFERROR(VLOOKUP($A$1,[3]사출실험_사출!$A:$AF,15,0),"")</f>
        <v>145</v>
      </c>
      <c r="L14" s="16">
        <f>IFERROR(VLOOKUP($A$1,[3]사출실험_사출!$A:$AF,14,0),"")</f>
        <v>145</v>
      </c>
      <c r="M14" s="27">
        <f>IFERROR(VLOOKUP($A$1,[3]사출실험_사출!$A:$AF,13,0),"")</f>
        <v>145</v>
      </c>
      <c r="P14" s="28" t="s">
        <v>132</v>
      </c>
      <c r="Q14" s="38">
        <f>VLOOKUP($A$1,[3]측정!$A:$BL,62,0)</f>
        <v>0</v>
      </c>
    </row>
    <row r="15" spans="1:17" ht="17.649999999999999" customHeight="1" thickBot="1">
      <c r="A15" s="204"/>
      <c r="B15" s="205"/>
      <c r="C15" s="10" t="s">
        <v>44</v>
      </c>
      <c r="D15" s="16">
        <f>IFERROR(VLOOKUP($A$1,[3]사출실험_사출!$A:$AF,32,0),"")</f>
        <v>0</v>
      </c>
      <c r="E15" s="16">
        <f>IFERROR(VLOOKUP($A$1,[3]사출실험_사출!$A:$AF,31,0),"")</f>
        <v>0</v>
      </c>
      <c r="F15" s="16">
        <f>IFERROR(VLOOKUP($A$1,[3]사출실험_사출!$A:$AF,30,0),"")</f>
        <v>0</v>
      </c>
      <c r="G15" s="16">
        <f>IFERROR(VLOOKUP($A$1,[3]사출실험_사출!$A:$AF,29,0),"")</f>
        <v>0</v>
      </c>
      <c r="H15" s="16">
        <f>IFERROR(VLOOKUP($A$1,[3]사출실험_사출!$A:$AF,28,0),"")</f>
        <v>0</v>
      </c>
      <c r="I15" s="16">
        <f>IFERROR(VLOOKUP($A$1,[3]사출실험_사출!$A:$AF,27,0),"")</f>
        <v>0</v>
      </c>
      <c r="J15" s="16">
        <f>IFERROR(VLOOKUP($A$1,[3]사출실험_사출!$A:$AF,26,0),"")</f>
        <v>15</v>
      </c>
      <c r="K15" s="16">
        <f>IFERROR(VLOOKUP($A$1,[3]사출실험_사출!$A:$AF,25,0),"")</f>
        <v>15</v>
      </c>
      <c r="L15" s="16">
        <f>IFERROR(VLOOKUP($A$1,[3]사출실험_사출!$A:$AF,24,0),"")</f>
        <v>20</v>
      </c>
      <c r="M15" s="27">
        <f>IFERROR(VLOOKUP($A$1,[3]사출실험_사출!$A:$AF,23,0),"")</f>
        <v>25</v>
      </c>
      <c r="P15" s="28" t="s">
        <v>133</v>
      </c>
      <c r="Q15" s="38">
        <f>VLOOKUP($A$1,[3]측정!$A:$BL,63,0)</f>
        <v>0</v>
      </c>
    </row>
    <row r="16" spans="1:17" ht="17.649999999999999" customHeight="1" thickTop="1">
      <c r="A16" s="204"/>
      <c r="B16" s="205" t="s">
        <v>26</v>
      </c>
      <c r="C16" s="11" t="s">
        <v>41</v>
      </c>
      <c r="D16" s="12">
        <v>3</v>
      </c>
      <c r="E16" s="12">
        <v>2</v>
      </c>
      <c r="F16" s="12">
        <v>1</v>
      </c>
      <c r="G16" s="207" t="s">
        <v>45</v>
      </c>
      <c r="H16" s="208"/>
      <c r="J16" s="76"/>
      <c r="M16" s="6"/>
      <c r="P16" s="28" t="s">
        <v>134</v>
      </c>
      <c r="Q16" s="38">
        <f>VLOOKUP($A$1,[3]측정!$A:$BL,64,0)</f>
        <v>0</v>
      </c>
    </row>
    <row r="17" spans="1:17" ht="16.899999999999999" customHeight="1">
      <c r="A17" s="204"/>
      <c r="B17" s="205"/>
      <c r="C17" s="9" t="s">
        <v>42</v>
      </c>
      <c r="D17" s="16">
        <f>IFERROR(VLOOKUP($A$1,[3]사출실험_보압!$A:$N,7,0),"")</f>
        <v>0</v>
      </c>
      <c r="E17" s="16">
        <f>IFERROR(VLOOKUP($A$1,[3]사출실험_보압!$A:$N,6,0),"")</f>
        <v>0</v>
      </c>
      <c r="F17" s="16">
        <f>IFERROR(VLOOKUP($A$1,[3]사출실험_보압!$A:$N,5,0),"")</f>
        <v>10</v>
      </c>
      <c r="G17" s="71">
        <f>IFERROR(VLOOKUP($A$1,[3]사출실험_보압!$A:$N,14,0),"")</f>
        <v>5.42</v>
      </c>
      <c r="H17" s="23" t="s">
        <v>79</v>
      </c>
      <c r="M17" s="6"/>
      <c r="P17" s="28" t="s">
        <v>135</v>
      </c>
      <c r="Q17" s="39">
        <f>MAX(Q9:Q16)</f>
        <v>6.04</v>
      </c>
    </row>
    <row r="18" spans="1:17" ht="16.899999999999999" customHeight="1">
      <c r="A18" s="204"/>
      <c r="B18" s="205"/>
      <c r="C18" s="8" t="s">
        <v>43</v>
      </c>
      <c r="D18" s="16">
        <f>IFERROR(VLOOKUP($A$1,[3]사출실험_보압!$A:$N,10,0),"")</f>
        <v>0</v>
      </c>
      <c r="E18" s="16">
        <f>IFERROR(VLOOKUP($A$1,[3]사출실험_보압!$A:$N,9,0),"")</f>
        <v>0</v>
      </c>
      <c r="F18" s="16">
        <f>IFERROR(VLOOKUP($A$1,[3]사출실험_보압!$A:$N,8,0),"")</f>
        <v>135</v>
      </c>
      <c r="M18" s="6"/>
      <c r="P18" s="28" t="s">
        <v>136</v>
      </c>
      <c r="Q18" s="40">
        <f>AVERAGEIF(Q9:Q16, "&lt;&gt;0")</f>
        <v>6.0299999999999994</v>
      </c>
    </row>
    <row r="19" spans="1:17" ht="16.899999999999999" customHeight="1">
      <c r="A19" s="204"/>
      <c r="B19" s="206"/>
      <c r="C19" s="10" t="s">
        <v>46</v>
      </c>
      <c r="D19" s="36">
        <f>IFERROR(VLOOKUP($A$1,[3]사출실험_보압!$A:$N,13,0),"")</f>
        <v>0</v>
      </c>
      <c r="E19" s="36">
        <f>IFERROR(VLOOKUP($A$1,[3]사출실험_보압!$A:$N,12,0),"")</f>
        <v>0</v>
      </c>
      <c r="F19" s="36">
        <f>IFERROR(VLOOKUP($A$1,[3]사출실험_보압!$A:$N,11,0),"")</f>
        <v>2</v>
      </c>
      <c r="H19" s="2"/>
      <c r="M19" s="6"/>
    </row>
    <row r="20" spans="1:17" ht="16.899999999999999" customHeight="1">
      <c r="A20" s="204"/>
      <c r="B20" s="178" t="s">
        <v>27</v>
      </c>
      <c r="C20" s="8" t="s">
        <v>47</v>
      </c>
      <c r="D20" s="8" t="s">
        <v>80</v>
      </c>
      <c r="E20" s="16">
        <f>IFERROR(VLOOKUP($A$1,[3]사출실험_계량!$A:$R,6,0),"")</f>
        <v>35</v>
      </c>
      <c r="F20" s="16">
        <f>IFERROR(VLOOKUP($A$1,[3]사출실험_계량!$A:$R,7,0),"")</f>
        <v>35</v>
      </c>
      <c r="G20" s="16">
        <f>IFERROR(VLOOKUP($A$1,[3]사출실험_계량!$A:$R,8,0),"")</f>
        <v>35</v>
      </c>
      <c r="H20" s="16">
        <f>IFERROR(VLOOKUP($A$1,[3]사출실험_계량!$A:$R,9,0),"")</f>
        <v>35</v>
      </c>
      <c r="I20" s="8" t="s">
        <v>81</v>
      </c>
      <c r="M20" s="6"/>
    </row>
    <row r="21" spans="1:17" ht="16.899999999999999" customHeight="1">
      <c r="A21" s="204"/>
      <c r="B21" s="178"/>
      <c r="C21" s="9" t="s">
        <v>44</v>
      </c>
      <c r="D21" s="172">
        <f>IFERROR(VLOOKUP($A$1,[3]사출실험_계량!$A:$R,5,0),"")</f>
        <v>0</v>
      </c>
      <c r="E21" s="16">
        <f>IFERROR(VLOOKUP($A$1,[3]사출실험_계량!$A:$R,11,0),"")</f>
        <v>10</v>
      </c>
      <c r="F21" s="16">
        <f>IFERROR(VLOOKUP($A$1,[3]사출실험_계량!$A:$R,12,0),"")</f>
        <v>20</v>
      </c>
      <c r="G21" s="16">
        <f>IFERROR(VLOOKUP($A$1,[3]사출실험_계량!$A:$R,13,0),"")</f>
        <v>25</v>
      </c>
      <c r="H21" s="16">
        <f>IFERROR(VLOOKUP($A$1,[3]사출실험_계량!$A:$R,14,0),"")</f>
        <v>30</v>
      </c>
      <c r="I21" s="172">
        <f>IFERROR(VLOOKUP($A$1,[3]사출실험_계량!$A:$R,10,0),"")</f>
        <v>4</v>
      </c>
      <c r="M21" s="6"/>
    </row>
    <row r="22" spans="1:17" ht="16.899999999999999" customHeight="1">
      <c r="A22" s="204"/>
      <c r="B22" s="178"/>
      <c r="C22" s="8" t="s">
        <v>48</v>
      </c>
      <c r="D22" s="172" t="str">
        <f>IFERROR(VLOOKUP($A$1,#REF!,6,0),"")</f>
        <v/>
      </c>
      <c r="E22" s="16">
        <f>IFERROR(VLOOKUP($A$1,[3]사출실험_계량!$A:$R,15,0),"")</f>
        <v>0</v>
      </c>
      <c r="F22" s="16">
        <f>IFERROR(VLOOKUP($A$1,[3]사출실험_계량!$A:$R,16,0),"")</f>
        <v>5</v>
      </c>
      <c r="G22" s="16">
        <f>IFERROR(VLOOKUP($A$1,[3]사출실험_계량!$A:$R,17,0),"")</f>
        <v>5</v>
      </c>
      <c r="H22" s="16">
        <f>IFERROR(VLOOKUP($A$1,[3]사출실험_계량!$A:$R,18,0),"")</f>
        <v>5</v>
      </c>
      <c r="I22" s="172" t="str">
        <f>IFERROR(VLOOKUP($A$1,#REF!,6,0),"")</f>
        <v/>
      </c>
      <c r="J22" s="2"/>
      <c r="M22" s="6"/>
    </row>
    <row r="23" spans="1:17" ht="17.649999999999999" customHeight="1" thickBot="1">
      <c r="A23" s="204"/>
      <c r="B23" s="173" t="s">
        <v>28</v>
      </c>
      <c r="C23" t="s">
        <v>49</v>
      </c>
      <c r="M23" s="6"/>
    </row>
    <row r="24" spans="1:17" ht="18" customHeight="1" thickTop="1" thickBot="1">
      <c r="A24" s="204"/>
      <c r="B24" s="174"/>
      <c r="C24" s="13"/>
      <c r="D24" s="8" t="s">
        <v>50</v>
      </c>
      <c r="E24" s="8" t="s">
        <v>51</v>
      </c>
      <c r="F24" s="8" t="s">
        <v>52</v>
      </c>
      <c r="G24" s="8" t="s">
        <v>53</v>
      </c>
      <c r="H24" s="8" t="s">
        <v>54</v>
      </c>
      <c r="M24" s="6"/>
    </row>
    <row r="25" spans="1:17" ht="18" customHeight="1" thickTop="1" thickBot="1">
      <c r="A25" s="204"/>
      <c r="B25" s="174"/>
      <c r="C25" s="14" t="s">
        <v>55</v>
      </c>
      <c r="D25" s="16">
        <f>IFERROR(VLOOKUP($A$1,[3]사출실험_온도!$A:$U,5,0),"")</f>
        <v>250</v>
      </c>
      <c r="E25" s="16">
        <f>IFERROR(VLOOKUP($A$1,[3]사출실험_온도!$A:$U,6,0),"")</f>
        <v>245</v>
      </c>
      <c r="F25" s="16">
        <f>IFERROR(VLOOKUP($A$1,[3]사출실험_온도!$A:$U,7,0),"")</f>
        <v>240</v>
      </c>
      <c r="G25" s="16">
        <f>IFERROR(VLOOKUP($A$1,[3]사출실험_온도!$A:$U,8,0),"")</f>
        <v>235</v>
      </c>
      <c r="H25" s="16">
        <f>IFERROR(VLOOKUP($A$1,[3]사출실험_온도!$A:$U,9,0),"")</f>
        <v>220</v>
      </c>
      <c r="M25" s="6"/>
    </row>
    <row r="26" spans="1:17" ht="18" customHeight="1" thickTop="1" thickBot="1">
      <c r="A26" s="204"/>
      <c r="B26" s="174"/>
      <c r="C26" s="2" t="s">
        <v>57</v>
      </c>
      <c r="M26" s="6"/>
    </row>
    <row r="27" spans="1:17" ht="18" customHeight="1" thickTop="1" thickBot="1">
      <c r="A27" s="204"/>
      <c r="B27" s="174"/>
      <c r="C27" s="13"/>
      <c r="D27" s="8" t="s">
        <v>208</v>
      </c>
      <c r="E27" s="8" t="s">
        <v>209</v>
      </c>
      <c r="F27" s="176" t="s">
        <v>83</v>
      </c>
      <c r="G27" s="176"/>
      <c r="H27" s="176"/>
      <c r="I27" s="176"/>
      <c r="J27" s="176"/>
      <c r="K27" s="176"/>
      <c r="M27" s="6"/>
    </row>
    <row r="28" spans="1:17" ht="18" customHeight="1" thickTop="1" thickBot="1">
      <c r="A28" s="204"/>
      <c r="B28" s="174"/>
      <c r="C28" s="14" t="s">
        <v>55</v>
      </c>
      <c r="D28" s="16">
        <f>IFERROR(VLOOKUP($A$1,[3]사출실험_온도!$A:$U,10,0),"")</f>
        <v>23</v>
      </c>
      <c r="E28" s="16">
        <f>IFERROR(VLOOKUP($A$1,[3]사출실험_온도!$A:$U,11,0),"")</f>
        <v>23</v>
      </c>
      <c r="F28" s="172">
        <f>IFERROR(VLOOKUP($A$1,[3]사출실험_온도!$A:$U,12,0),"")</f>
        <v>0</v>
      </c>
      <c r="G28" s="172" t="str">
        <f>IFERROR(VLOOKUP($A$1,#REF!,10,0),"")</f>
        <v/>
      </c>
      <c r="H28" s="172" t="str">
        <f>IFERROR(VLOOKUP($A$1,#REF!,10,0),"")</f>
        <v/>
      </c>
      <c r="I28" s="172" t="str">
        <f>IFERROR(VLOOKUP($A$1,#REF!,10,0),"")</f>
        <v/>
      </c>
      <c r="J28" s="172" t="str">
        <f>IFERROR(VLOOKUP($A$1,#REF!,10,0),"")</f>
        <v/>
      </c>
      <c r="K28" s="172" t="str">
        <f>IFERROR(VLOOKUP($A$1,#REF!,10,0),"")</f>
        <v/>
      </c>
      <c r="M28" s="6"/>
    </row>
    <row r="29" spans="1:17" ht="18" customHeight="1" thickTop="1" thickBot="1">
      <c r="A29" s="204"/>
      <c r="B29" s="174"/>
      <c r="C29" s="2"/>
      <c r="D29" s="2"/>
      <c r="E29" s="2"/>
      <c r="F29" s="2"/>
      <c r="G29" s="2"/>
      <c r="H29" s="2"/>
      <c r="M29" s="6"/>
    </row>
    <row r="30" spans="1:17" ht="18" customHeight="1" thickTop="1" thickBot="1">
      <c r="A30" s="204"/>
      <c r="B30" s="174"/>
      <c r="C30" t="s">
        <v>56</v>
      </c>
      <c r="M30" s="6"/>
    </row>
    <row r="31" spans="1:17" ht="18" customHeight="1" thickTop="1" thickBot="1">
      <c r="A31" s="204"/>
      <c r="B31" s="174"/>
      <c r="C31" s="8" t="s">
        <v>82</v>
      </c>
      <c r="D31" s="177" t="str">
        <f>IFERROR(VLOOKUP($A$1,#REF!,13,0),"")</f>
        <v/>
      </c>
      <c r="E31" s="177" t="str">
        <f>IFERROR(VLOOKUP($A$1,#REF!,10,0),"")</f>
        <v/>
      </c>
      <c r="F31" s="177" t="str">
        <f>IFERROR(VLOOKUP($A$1,#REF!,14,0),"")</f>
        <v/>
      </c>
      <c r="G31" s="177" t="str">
        <f>IFERROR(VLOOKUP($A$1,#REF!,10,0),"")</f>
        <v/>
      </c>
      <c r="H31" s="177" t="str">
        <f>IFERROR(VLOOKUP($A$1,#REF!,15,0),"")</f>
        <v/>
      </c>
      <c r="I31" s="177" t="str">
        <f>IFERROR(VLOOKUP($A$1,#REF!,10,0),"")</f>
        <v/>
      </c>
      <c r="J31" s="177" t="str">
        <f>IFERROR(VLOOKUP($A$1,#REF!,16,0),"")</f>
        <v/>
      </c>
      <c r="K31" s="177" t="str">
        <f>IFERROR(VLOOKUP($A$1,#REF!,10,0),"")</f>
        <v/>
      </c>
      <c r="L31" s="179" t="s">
        <v>83</v>
      </c>
      <c r="M31" s="180"/>
    </row>
    <row r="32" spans="1:17" ht="17.649999999999999" customHeight="1" thickTop="1">
      <c r="A32" s="204"/>
      <c r="B32" s="175"/>
      <c r="C32" s="8" t="s">
        <v>28</v>
      </c>
      <c r="D32" s="181">
        <f>IFERROR(VLOOKUP($A$1,[3]사출실험_온도!$A:$U,17,0),"")</f>
        <v>0</v>
      </c>
      <c r="E32" s="181" t="str">
        <f>IFERROR(VLOOKUP($A$1,#REF!,10,0),"")</f>
        <v/>
      </c>
      <c r="F32" s="181">
        <f>IFERROR(VLOOKUP($A$1,[3]사출실험_온도!$A:$U,18,0),"")</f>
        <v>0</v>
      </c>
      <c r="G32" s="181" t="str">
        <f>IFERROR(VLOOKUP($A$1,#REF!,10,0),"")</f>
        <v/>
      </c>
      <c r="H32" s="181">
        <f>IFERROR(VLOOKUP($A$1,[3]사출실험_온도!$A:$U,19,0),"")</f>
        <v>0</v>
      </c>
      <c r="I32" s="181" t="str">
        <f>IFERROR(VLOOKUP($A$1,#REF!,10,0),"")</f>
        <v/>
      </c>
      <c r="J32" s="181">
        <f>IFERROR(VLOOKUP($A$1,[3]사출실험_온도!$A:$U,20,0),"")</f>
        <v>0</v>
      </c>
      <c r="K32" s="181" t="str">
        <f>IFERROR(VLOOKUP($A$1,#REF!,10,0),"")</f>
        <v/>
      </c>
      <c r="L32" s="182">
        <f>IFERROR(VLOOKUP($A$1,[3]사출실험_온도!$A:$U,21,0),"")</f>
        <v>0</v>
      </c>
      <c r="M32" s="183" t="str">
        <f>IFERROR(VLOOKUP($A$1,#REF!,10,0),"")</f>
        <v/>
      </c>
    </row>
    <row r="33" spans="1:13" ht="16.899999999999999" customHeight="1">
      <c r="A33" s="204"/>
      <c r="B33" s="4"/>
      <c r="C33" s="2"/>
      <c r="D33" s="2"/>
      <c r="E33" s="2"/>
      <c r="F33" s="2"/>
      <c r="G33" s="2"/>
      <c r="H33" s="85"/>
      <c r="I33" s="85"/>
      <c r="J33" s="85"/>
      <c r="K33" s="85"/>
      <c r="L33" s="85"/>
      <c r="M33" s="24"/>
    </row>
    <row r="34" spans="1:13" ht="16.899999999999999" customHeight="1">
      <c r="A34" s="204"/>
      <c r="B34" s="184" t="s">
        <v>58</v>
      </c>
      <c r="C34" s="8"/>
      <c r="D34" s="9" t="s">
        <v>59</v>
      </c>
      <c r="E34" s="8" t="s">
        <v>60</v>
      </c>
      <c r="F34" s="8" t="s">
        <v>61</v>
      </c>
      <c r="G34" s="8" t="s">
        <v>62</v>
      </c>
      <c r="I34" s="176" t="s">
        <v>84</v>
      </c>
      <c r="J34" s="176"/>
      <c r="K34" s="2"/>
      <c r="M34" s="6"/>
    </row>
    <row r="35" spans="1:13" ht="16.899999999999999" customHeight="1">
      <c r="A35" s="204"/>
      <c r="B35" s="178"/>
      <c r="C35" s="8" t="s">
        <v>63</v>
      </c>
      <c r="D35" s="72">
        <f>IFERROR(VLOOKUP($A$1,'[3]사출실험_CYCLE TIME'!$A:$O,5,0),"")</f>
        <v>2.5</v>
      </c>
      <c r="E35" s="43">
        <f>IFERROR(VLOOKUP($A$1,'[3]사출실험_CYCLE TIME'!$A:$O,6,0),"")</f>
        <v>12</v>
      </c>
      <c r="F35" s="43">
        <f>IFERROR(VLOOKUP($A$1,'[3]사출실험_CYCLE TIME'!$A:$O,7,0),"")</f>
        <v>0</v>
      </c>
      <c r="G35" s="43">
        <f>IFERROR(VLOOKUP($A$1,'[3]사출실험_CYCLE TIME'!$A:$O,8,0),"")</f>
        <v>0</v>
      </c>
      <c r="I35" s="185">
        <f>IFERROR(VLOOKUP($A$1,'[3]사출실험_CYCLE TIME'!$A:$O,13,0),"")</f>
        <v>0</v>
      </c>
      <c r="J35" s="185"/>
      <c r="K35" s="2"/>
      <c r="M35" s="6"/>
    </row>
    <row r="36" spans="1:13" ht="16.899999999999999" customHeight="1">
      <c r="A36" s="204"/>
      <c r="B36" s="178"/>
      <c r="C36" s="8" t="s">
        <v>64</v>
      </c>
      <c r="D36" s="44">
        <f>IFERROR(VLOOKUP($A$1,'[3]사출실험_CYCLE TIME'!$A:$O,9,0),"")</f>
        <v>0</v>
      </c>
      <c r="E36" s="44">
        <f>IFERROR(VLOOKUP($A$1,'[3]사출실험_CYCLE TIME'!$A:$O,10,0),"")</f>
        <v>0</v>
      </c>
      <c r="F36" s="44">
        <f>IFERROR(VLOOKUP($A$1,'[3]사출실험_CYCLE TIME'!$A:$O,11,0),"")</f>
        <v>0</v>
      </c>
      <c r="G36" s="44">
        <f>IFERROR(VLOOKUP($A$1,'[3]사출실험_CYCLE TIME'!$A:$O,12,0),"")</f>
        <v>0</v>
      </c>
      <c r="I36" s="2"/>
      <c r="K36" s="2"/>
      <c r="M36" s="6"/>
    </row>
    <row r="37" spans="1:13">
      <c r="A37" s="7"/>
      <c r="M37" s="6"/>
    </row>
    <row r="38" spans="1:13">
      <c r="A38" s="41" t="s">
        <v>145</v>
      </c>
      <c r="M38" s="6"/>
    </row>
    <row r="39" spans="1:13" ht="16.899999999999999" customHeight="1">
      <c r="A39" s="186">
        <f>IFERROR(VLOOKUP($A$1,'[3]사출실험_CYCLE TIME'!$A:$O,14,0),"")</f>
        <v>0</v>
      </c>
      <c r="B39" s="187"/>
      <c r="C39" s="187"/>
      <c r="D39" s="188"/>
      <c r="E39" s="195" t="s">
        <v>66</v>
      </c>
      <c r="F39" s="196" t="s">
        <v>67</v>
      </c>
      <c r="G39" s="197"/>
      <c r="H39" s="197"/>
      <c r="I39" s="197"/>
      <c r="J39" s="197"/>
      <c r="K39" s="197"/>
      <c r="L39" s="197"/>
      <c r="M39" s="198"/>
    </row>
    <row r="40" spans="1:13">
      <c r="A40" s="189"/>
      <c r="B40" s="190"/>
      <c r="C40" s="190"/>
      <c r="D40" s="191"/>
      <c r="E40" s="195"/>
      <c r="F40" s="199" t="str">
        <f>IF(ISNUMBER(FIND("_", $D$1)), IFERROR(VLOOKUP($D$1, [1]BOM_도면!$F:$Q, 4, 0), ""), IFERROR(VLOOKUP($D$1, [1]BOM_도면!$C:$Q, 7, 0), ""))</f>
        <v>A</v>
      </c>
      <c r="G40" s="199" t="str">
        <f>IFERROR(VLOOKUP($A$1,#REF!,13,0),"")</f>
        <v/>
      </c>
      <c r="H40" s="200" t="str">
        <f>IF(ISNUMBER(FIND("_", $D$1)), IFERROR(VLOOKUP($D$1, [1]BOM_도면!$F:$Q, 7, 0), ""), IFERROR(VLOOKUP($D$1, [1]BOM_도면!$C:$Q, 10, 0), ""))</f>
        <v>외경</v>
      </c>
      <c r="I40" s="200" t="str">
        <f>IFERROR(VLOOKUP($A$1,#REF!,13,0),"")</f>
        <v/>
      </c>
      <c r="J40" s="201" t="str">
        <f>IF(ISNUMBER(FIND("_", $D$1)), IFERROR(VLOOKUP($D$1, [1]BOM_도면!$F:$Q, 10, 0), ""), IFERROR(VLOOKUP($D$1, [1]BOM_도면!$C:$Q, 13, 0), ""))</f>
        <v>내경</v>
      </c>
      <c r="K40" s="201" t="str">
        <f>IFERROR(VLOOKUP($A$1,#REF!,13,0),"")</f>
        <v/>
      </c>
      <c r="L40" s="202" t="s">
        <v>33</v>
      </c>
      <c r="M40" s="203" t="str">
        <f>IFERROR(VLOOKUP($A$1,#REF!,13,0),"")</f>
        <v/>
      </c>
    </row>
    <row r="41" spans="1:13" ht="17.25" thickBot="1">
      <c r="A41" s="189"/>
      <c r="B41" s="190"/>
      <c r="C41" s="190"/>
      <c r="D41" s="191"/>
      <c r="E41" s="83" t="s">
        <v>68</v>
      </c>
      <c r="F41" s="209" t="str">
        <f>IF(ISNUMBER(FIND("_", $D$1)), IFERROR(VLOOKUP($D$1, [1]BOM_도면!$F:$Q, 5, 0), ""), IFERROR(VLOOKUP($D$1, [1]BOM_도면!$C:$Q, 8, 0), ""))</f>
        <v>⌀58.3±0.1</v>
      </c>
      <c r="G41" s="209"/>
      <c r="H41" s="210" t="str">
        <f>IF(ISNUMBER(FIND("_", $D$1)), IFERROR(VLOOKUP($D$1, [1]BOM_도면!$F:$Q, 8, 0), ""), IFERROR(VLOOKUP($D$1, [1]BOM_도면!$C:$Q, 11, 0), ""))</f>
        <v>⌀63.5±0.1</v>
      </c>
      <c r="I41" s="210"/>
      <c r="J41" s="209" t="str">
        <f>IF(ISNUMBER(FIND("_", $D$1)), IFERROR(VLOOKUP($D$1, [1]BOM_도면!$F:$Q, 11, 0), ""), IFERROR(VLOOKUP($D$1, [1]BOM_도면!$C:$Q, 14, 0), ""))</f>
        <v>⌀56.2±0.1</v>
      </c>
      <c r="K41" s="209"/>
      <c r="L41" s="211">
        <f>IFERROR(VLOOKUP($A$1,[3]측정!$A:$BL,56,0),"")</f>
        <v>8.26</v>
      </c>
      <c r="M41" s="212"/>
    </row>
    <row r="42" spans="1:13" ht="17.25" thickTop="1">
      <c r="A42" s="189"/>
      <c r="B42" s="190"/>
      <c r="C42" s="190"/>
      <c r="D42" s="191"/>
      <c r="E42" s="78" t="s">
        <v>137</v>
      </c>
      <c r="F42" s="79" t="s">
        <v>139</v>
      </c>
      <c r="G42" s="79" t="s">
        <v>141</v>
      </c>
      <c r="H42" s="79" t="s">
        <v>138</v>
      </c>
      <c r="I42" s="79" t="s">
        <v>140</v>
      </c>
      <c r="J42" s="79" t="s">
        <v>138</v>
      </c>
      <c r="K42" s="80" t="s">
        <v>140</v>
      </c>
      <c r="L42" s="81" t="s">
        <v>236</v>
      </c>
      <c r="M42" s="82" t="s">
        <v>235</v>
      </c>
    </row>
    <row r="43" spans="1:13">
      <c r="A43" s="189"/>
      <c r="B43" s="190"/>
      <c r="C43" s="190"/>
      <c r="D43" s="191"/>
      <c r="E43" s="8">
        <v>1</v>
      </c>
      <c r="F43" s="34">
        <f>IFERROR(VLOOKUP($A$1,[3]측정!$A:$BL,6,0),"")</f>
        <v>0</v>
      </c>
      <c r="G43" s="34">
        <f>IFERROR(VLOOKUP($A$1,[4]측정_24H데이타!$A:$AE,6,0),"")</f>
        <v>57.83</v>
      </c>
      <c r="H43" s="34">
        <f>IFERROR(VLOOKUP($A$1,[3]측정!$A:$BL,23,0),"")</f>
        <v>63.38</v>
      </c>
      <c r="I43" s="34">
        <f>IFERROR(VLOOKUP($A$1,[4]측정_24H데이타!$A:$AE,15,0),"")</f>
        <v>63.14</v>
      </c>
      <c r="J43" s="34">
        <f>IFERROR(VLOOKUP($A$1,[3]측정!$A:$BL,40,0),"")</f>
        <v>0</v>
      </c>
      <c r="K43" s="34">
        <f>IFERROR(VLOOKUP($A$1,[4]측정_24H데이타!$A:$AE,24,0),"")</f>
        <v>0</v>
      </c>
      <c r="L43" s="77">
        <v>1</v>
      </c>
      <c r="M43" s="35">
        <f>IFERROR(VLOOKUP($A$1,[3]측정!$A:$BL,57,0),"")</f>
        <v>6.02</v>
      </c>
    </row>
    <row r="44" spans="1:13">
      <c r="A44" s="189"/>
      <c r="B44" s="190"/>
      <c r="C44" s="190"/>
      <c r="D44" s="191"/>
      <c r="E44" s="8">
        <v>2</v>
      </c>
      <c r="F44" s="34">
        <f>IFERROR(VLOOKUP($A$1,[3]측정!$A:$BL,7,0),"")</f>
        <v>0</v>
      </c>
      <c r="G44" s="34">
        <f>IFERROR(VLOOKUP($A$1,[4]측정_24H데이타!$A:$AE,7,0),"")</f>
        <v>57.9</v>
      </c>
      <c r="H44" s="34">
        <f>IFERROR(VLOOKUP($A$1,[3]측정!$A:$BL,24,0),"")</f>
        <v>63.39</v>
      </c>
      <c r="I44" s="34">
        <f>IFERROR(VLOOKUP($A$1,[4]측정_24H데이타!$A:$AE,16,0),"")</f>
        <v>63.2</v>
      </c>
      <c r="J44" s="34">
        <f>IFERROR(VLOOKUP($A$1,[3]측정!$A:$BL,41,0),"")</f>
        <v>0</v>
      </c>
      <c r="K44" s="34">
        <f>IFERROR(VLOOKUP($A$1,[4]측정_24H데이타!$A:$AE,25,0),"")</f>
        <v>0</v>
      </c>
      <c r="L44" s="77">
        <v>2</v>
      </c>
      <c r="M44" s="35">
        <f>IFERROR(VLOOKUP($A$1,[3]측정!$A:$BL,58,0),"")</f>
        <v>6.04</v>
      </c>
    </row>
    <row r="45" spans="1:13">
      <c r="A45" s="189"/>
      <c r="B45" s="190"/>
      <c r="C45" s="190"/>
      <c r="D45" s="191"/>
      <c r="E45" s="8">
        <v>3</v>
      </c>
      <c r="F45" s="34">
        <f>IFERROR(VLOOKUP($A$1,[3]측정!$A:$BL,8,0),"")</f>
        <v>0</v>
      </c>
      <c r="G45" s="34">
        <f>IFERROR(VLOOKUP($A$1,[4]측정_24H데이타!$A:$AE,8,0),"")</f>
        <v>0</v>
      </c>
      <c r="H45" s="34">
        <f>IFERROR(VLOOKUP($A$1,[3]측정!$A:$BL,25,0),"")</f>
        <v>0</v>
      </c>
      <c r="I45" s="34">
        <f>IFERROR(VLOOKUP($A$1,[4]측정_24H데이타!$A:$AE,17,0),"")</f>
        <v>0</v>
      </c>
      <c r="J45" s="34">
        <f>IFERROR(VLOOKUP($A$1,[3]측정!$A:$BL,42,0),"")</f>
        <v>0</v>
      </c>
      <c r="K45" s="34">
        <f>IFERROR(VLOOKUP($A$1,[4]측정_24H데이타!$A:$AE,26,0),"")</f>
        <v>0</v>
      </c>
      <c r="L45" s="77">
        <v>3</v>
      </c>
      <c r="M45" s="35">
        <f>IFERROR(VLOOKUP($A$1,[3]측정!$A:$BL,59,0),"")</f>
        <v>0</v>
      </c>
    </row>
    <row r="46" spans="1:13">
      <c r="A46" s="189"/>
      <c r="B46" s="190"/>
      <c r="C46" s="190"/>
      <c r="D46" s="191"/>
      <c r="E46" s="8">
        <v>4</v>
      </c>
      <c r="F46" s="34">
        <f>IFERROR(VLOOKUP($A$1,[3]측정!$A:$BL,9,0),"")</f>
        <v>0</v>
      </c>
      <c r="G46" s="34">
        <f>IFERROR(VLOOKUP($A$1,[4]측정_24H데이타!$A:$AE,9,0),"")</f>
        <v>0</v>
      </c>
      <c r="H46" s="34">
        <f>IFERROR(VLOOKUP($A$1,[3]측정!$A:$BL,26,0),"")</f>
        <v>0</v>
      </c>
      <c r="I46" s="34">
        <f>IFERROR(VLOOKUP($A$1,[4]측정_24H데이타!$A:$AE,18,0),"")</f>
        <v>0</v>
      </c>
      <c r="J46" s="34">
        <f>IFERROR(VLOOKUP($A$1,[3]측정!$A:$BL,43,0),"")</f>
        <v>0</v>
      </c>
      <c r="K46" s="34">
        <f>IFERROR(VLOOKUP($A$1,[4]측정_24H데이타!$A:$AE,27,0),"")</f>
        <v>0</v>
      </c>
      <c r="L46" s="77">
        <v>4</v>
      </c>
      <c r="M46" s="35">
        <f>IFERROR(VLOOKUP($A$1,[3]측정!$A:$BL,60,0),"")</f>
        <v>0</v>
      </c>
    </row>
    <row r="47" spans="1:13">
      <c r="A47" s="189"/>
      <c r="B47" s="190"/>
      <c r="C47" s="190"/>
      <c r="D47" s="191"/>
      <c r="E47" s="8">
        <v>5</v>
      </c>
      <c r="F47" s="34">
        <f>IFERROR(VLOOKUP($A$1,[3]측정!$A:$BL,10,0),"")</f>
        <v>0</v>
      </c>
      <c r="G47" s="34">
        <f>IFERROR(VLOOKUP($A$1,[4]측정_24H데이타!$A:$AE,10,0),"")</f>
        <v>0</v>
      </c>
      <c r="H47" s="34">
        <f>IFERROR(VLOOKUP($A$1,[3]측정!$A:$BL,27,0),"")</f>
        <v>0</v>
      </c>
      <c r="I47" s="34">
        <f>IFERROR(VLOOKUP($A$1,[4]측정_24H데이타!$A:$AE,19,0),"")</f>
        <v>0</v>
      </c>
      <c r="J47" s="34">
        <f>IFERROR(VLOOKUP($A$1,[3]측정!$A:$BL,44,0),"")</f>
        <v>0</v>
      </c>
      <c r="K47" s="34">
        <f>IFERROR(VLOOKUP($A$1,[4]측정_24H데이타!$A:$AE,28,0),"")</f>
        <v>0</v>
      </c>
      <c r="L47" s="77">
        <v>5</v>
      </c>
      <c r="M47" s="35">
        <f>IFERROR(VLOOKUP($A$1,[3]측정!$A:$BL,61,0),"")</f>
        <v>0</v>
      </c>
    </row>
    <row r="48" spans="1:13">
      <c r="A48" s="189"/>
      <c r="B48" s="190"/>
      <c r="C48" s="190"/>
      <c r="D48" s="191"/>
      <c r="E48" s="8">
        <v>6</v>
      </c>
      <c r="F48" s="34">
        <f>IFERROR(VLOOKUP($A$1,[3]측정!$A:$BL,11,0),"")</f>
        <v>0</v>
      </c>
      <c r="G48" s="34">
        <f>IFERROR(VLOOKUP($A$1,[4]측정_24H데이타!$A:$AE,11,0),"")</f>
        <v>0</v>
      </c>
      <c r="H48" s="34">
        <f>IFERROR(VLOOKUP($A$1,[3]측정!$A:$BL,28,0),"")</f>
        <v>0</v>
      </c>
      <c r="I48" s="34">
        <f>IFERROR(VLOOKUP($A$1,[4]측정_24H데이타!$A:$AE,20,0),"")</f>
        <v>0</v>
      </c>
      <c r="J48" s="34">
        <f>IFERROR(VLOOKUP($A$1,[3]측정!$A:$BL,45,0),"")</f>
        <v>0</v>
      </c>
      <c r="K48" s="34">
        <f>IFERROR(VLOOKUP($A$1,[4]측정_24H데이타!$A:$AE,29,0),"")</f>
        <v>0</v>
      </c>
      <c r="L48" s="77">
        <v>6</v>
      </c>
      <c r="M48" s="35">
        <f>IFERROR(VLOOKUP($A$1,[3]측정!$A:$BL,62,0),"")</f>
        <v>0</v>
      </c>
    </row>
    <row r="49" spans="1:13">
      <c r="A49" s="189"/>
      <c r="B49" s="190"/>
      <c r="C49" s="190"/>
      <c r="D49" s="191"/>
      <c r="E49" s="8">
        <v>7</v>
      </c>
      <c r="F49" s="34">
        <f>IFERROR(VLOOKUP($A$1,[3]측정!$A:$BL,12,0),"")</f>
        <v>0</v>
      </c>
      <c r="G49" s="34">
        <f>IFERROR(VLOOKUP($A$1,[4]측정_24H데이타!$A:$AE,12,0),"")</f>
        <v>0</v>
      </c>
      <c r="H49" s="34">
        <f>IFERROR(VLOOKUP($A$1,[3]측정!$A:$BL,29,0),"")</f>
        <v>0</v>
      </c>
      <c r="I49" s="34">
        <f>IFERROR(VLOOKUP($A$1,[4]측정_24H데이타!$A:$AE,21,0),"")</f>
        <v>0</v>
      </c>
      <c r="J49" s="34">
        <f>IFERROR(VLOOKUP($A$1,[3]측정!$A:$BL,46,0),"")</f>
        <v>0</v>
      </c>
      <c r="K49" s="34">
        <f>IFERROR(VLOOKUP($A$1,[4]측정_24H데이타!$A:$AE,30,0),"")</f>
        <v>0</v>
      </c>
      <c r="L49" s="77">
        <v>7</v>
      </c>
      <c r="M49" s="35">
        <f>IFERROR(VLOOKUP($A$1,[3]측정!$A:$BL,63,0),"")</f>
        <v>0</v>
      </c>
    </row>
    <row r="50" spans="1:13">
      <c r="A50" s="192"/>
      <c r="B50" s="193"/>
      <c r="C50" s="193"/>
      <c r="D50" s="194"/>
      <c r="E50" s="8">
        <v>8</v>
      </c>
      <c r="F50" s="34">
        <f>IFERROR(VLOOKUP($A$1,[3]측정!$A:$BL,13,0),"")</f>
        <v>0</v>
      </c>
      <c r="G50" s="34">
        <f>IFERROR(VLOOKUP($A$1,[4]측정_24H데이타!$A:$AE,13,0),"")</f>
        <v>0</v>
      </c>
      <c r="H50" s="34">
        <f>IFERROR(VLOOKUP($A$1,[3]측정!$A:$BL,30,0),"")</f>
        <v>0</v>
      </c>
      <c r="I50" s="34">
        <f>IFERROR(VLOOKUP($A$1,[4]측정_24H데이타!$A:$AE,22,0),"")</f>
        <v>0</v>
      </c>
      <c r="J50" s="34">
        <f>IFERROR(VLOOKUP($A$1,[3]측정!$A:$BL,47,0),"")</f>
        <v>0</v>
      </c>
      <c r="K50" s="34">
        <f>IFERROR(VLOOKUP($A$1,[4]측정_24H데이타!$A:$AE,31,0),"")</f>
        <v>0</v>
      </c>
      <c r="L50" s="77">
        <v>8</v>
      </c>
      <c r="M50" s="35">
        <f>IFERROR(VLOOKUP($A$1,[3]측정!$A:$BL,64,0),"")</f>
        <v>0</v>
      </c>
    </row>
    <row r="51" spans="1:13">
      <c r="A51" s="42" t="s">
        <v>146</v>
      </c>
      <c r="B51" s="2"/>
      <c r="C51" s="2"/>
      <c r="D51" s="15"/>
      <c r="E51" s="41" t="s">
        <v>65</v>
      </c>
      <c r="M51" s="6"/>
    </row>
    <row r="52" spans="1:13">
      <c r="A52" s="213">
        <f>IFERROR(VLOOKUP($A$1,'[3]사출실험_CYCLE TIME'!$A:$O,15,0),"")</f>
        <v>0</v>
      </c>
      <c r="B52" s="214"/>
      <c r="C52" s="214"/>
      <c r="D52" s="214"/>
      <c r="E52" s="217" t="e" vm="1">
        <f>IF(ISNUMBER(FIND("_", $D$1)), IFERROR(VLOOKUP($D$1, [1]BOM_도면!$F:$Q, 3, 0), ""), IFERROR(VLOOKUP($D$1, [1]BOM_도면!$C:$Q, 6, 0), ""))</f>
        <v>#VALUE!</v>
      </c>
      <c r="F52" s="217"/>
      <c r="G52" s="217"/>
      <c r="H52" s="217" t="e" vm="2">
        <f>IF(ISNUMBER(FIND("_", $D$1)), IFERROR(VLOOKUP($D$1, [1]BOM_도면!$F:$Q, 6, 0), ""), IFERROR(VLOOKUP($D$1, [1]BOM_도면!$C:$Q, 9, 0), ""))</f>
        <v>#VALUE!</v>
      </c>
      <c r="I52" s="217"/>
      <c r="J52" s="217"/>
      <c r="K52" s="217" t="e" vm="3">
        <f>IF(ISNUMBER(FIND("_", $D$1)), IFERROR(VLOOKUP($D$1, [1]BOM_도면!$F:$Q, 9, 0), ""), IFERROR(VLOOKUP($D$1, [1]BOM_도면!$C:$Q, 12, 0), ""))</f>
        <v>#VALUE!</v>
      </c>
      <c r="L52" s="217"/>
      <c r="M52" s="219"/>
    </row>
    <row r="53" spans="1:13">
      <c r="A53" s="213"/>
      <c r="B53" s="214"/>
      <c r="C53" s="214"/>
      <c r="D53" s="214"/>
      <c r="E53" s="217"/>
      <c r="F53" s="217"/>
      <c r="G53" s="217"/>
      <c r="H53" s="217"/>
      <c r="I53" s="217"/>
      <c r="J53" s="217"/>
      <c r="K53" s="217"/>
      <c r="L53" s="217"/>
      <c r="M53" s="219"/>
    </row>
    <row r="54" spans="1:13">
      <c r="A54" s="213"/>
      <c r="B54" s="214"/>
      <c r="C54" s="214"/>
      <c r="D54" s="214"/>
      <c r="E54" s="217"/>
      <c r="F54" s="217"/>
      <c r="G54" s="217"/>
      <c r="H54" s="217"/>
      <c r="I54" s="217"/>
      <c r="J54" s="217"/>
      <c r="K54" s="217"/>
      <c r="L54" s="217"/>
      <c r="M54" s="219"/>
    </row>
    <row r="55" spans="1:13">
      <c r="A55" s="213"/>
      <c r="B55" s="214"/>
      <c r="C55" s="214"/>
      <c r="D55" s="214"/>
      <c r="E55" s="217"/>
      <c r="F55" s="217"/>
      <c r="G55" s="217"/>
      <c r="H55" s="217"/>
      <c r="I55" s="217"/>
      <c r="J55" s="217"/>
      <c r="K55" s="217"/>
      <c r="L55" s="217"/>
      <c r="M55" s="219"/>
    </row>
    <row r="56" spans="1:13">
      <c r="A56" s="213"/>
      <c r="B56" s="214"/>
      <c r="C56" s="214"/>
      <c r="D56" s="214"/>
      <c r="E56" s="217"/>
      <c r="F56" s="217"/>
      <c r="G56" s="217"/>
      <c r="H56" s="217"/>
      <c r="I56" s="217"/>
      <c r="J56" s="217"/>
      <c r="K56" s="217"/>
      <c r="L56" s="217"/>
      <c r="M56" s="219"/>
    </row>
    <row r="57" spans="1:13">
      <c r="A57" s="213"/>
      <c r="B57" s="214"/>
      <c r="C57" s="214"/>
      <c r="D57" s="214"/>
      <c r="E57" s="217"/>
      <c r="F57" s="217"/>
      <c r="G57" s="217"/>
      <c r="H57" s="217"/>
      <c r="I57" s="217"/>
      <c r="J57" s="217"/>
      <c r="K57" s="217"/>
      <c r="L57" s="217"/>
      <c r="M57" s="219"/>
    </row>
    <row r="58" spans="1:13">
      <c r="A58" s="213"/>
      <c r="B58" s="214"/>
      <c r="C58" s="214"/>
      <c r="D58" s="214"/>
      <c r="E58" s="217"/>
      <c r="F58" s="217"/>
      <c r="G58" s="217"/>
      <c r="H58" s="217"/>
      <c r="I58" s="217"/>
      <c r="J58" s="217"/>
      <c r="K58" s="217"/>
      <c r="L58" s="217"/>
      <c r="M58" s="219"/>
    </row>
    <row r="59" spans="1:13" ht="17.25" thickBot="1">
      <c r="A59" s="215"/>
      <c r="B59" s="216"/>
      <c r="C59" s="216"/>
      <c r="D59" s="216"/>
      <c r="E59" s="218"/>
      <c r="F59" s="218"/>
      <c r="G59" s="218"/>
      <c r="H59" s="218"/>
      <c r="I59" s="218"/>
      <c r="J59" s="218"/>
      <c r="K59" s="218"/>
      <c r="L59" s="218"/>
      <c r="M59" s="220"/>
    </row>
  </sheetData>
  <mergeCells count="59">
    <mergeCell ref="J41:K41"/>
    <mergeCell ref="L41:M41"/>
    <mergeCell ref="A52:D59"/>
    <mergeCell ref="E52:G59"/>
    <mergeCell ref="H52:J59"/>
    <mergeCell ref="K52:M59"/>
    <mergeCell ref="B34:B36"/>
    <mergeCell ref="I34:J34"/>
    <mergeCell ref="I35:J35"/>
    <mergeCell ref="A39:D50"/>
    <mergeCell ref="E39:E40"/>
    <mergeCell ref="F39:M39"/>
    <mergeCell ref="F40:G40"/>
    <mergeCell ref="H40:I40"/>
    <mergeCell ref="J40:K40"/>
    <mergeCell ref="L40:M40"/>
    <mergeCell ref="A12:A36"/>
    <mergeCell ref="B12:B15"/>
    <mergeCell ref="B16:B19"/>
    <mergeCell ref="G16:H16"/>
    <mergeCell ref="F41:G41"/>
    <mergeCell ref="H41:I41"/>
    <mergeCell ref="L31:M31"/>
    <mergeCell ref="D32:E32"/>
    <mergeCell ref="F32:G32"/>
    <mergeCell ref="H32:I32"/>
    <mergeCell ref="J32:K32"/>
    <mergeCell ref="L32:M32"/>
    <mergeCell ref="D21:D22"/>
    <mergeCell ref="I21:I22"/>
    <mergeCell ref="B23:B32"/>
    <mergeCell ref="F27:K27"/>
    <mergeCell ref="F28:K28"/>
    <mergeCell ref="D31:E31"/>
    <mergeCell ref="F31:G31"/>
    <mergeCell ref="H31:I31"/>
    <mergeCell ref="J31:K31"/>
    <mergeCell ref="B20:B22"/>
    <mergeCell ref="E8:F8"/>
    <mergeCell ref="G8:H8"/>
    <mergeCell ref="I8:J8"/>
    <mergeCell ref="L8:M8"/>
    <mergeCell ref="K9:M9"/>
    <mergeCell ref="A3:L3"/>
    <mergeCell ref="B4:C4"/>
    <mergeCell ref="K4:M4"/>
    <mergeCell ref="A5:A8"/>
    <mergeCell ref="C5:F5"/>
    <mergeCell ref="G5:H5"/>
    <mergeCell ref="I5:J5"/>
    <mergeCell ref="L5:M5"/>
    <mergeCell ref="C6:F6"/>
    <mergeCell ref="G6:H6"/>
    <mergeCell ref="I6:J6"/>
    <mergeCell ref="L6:M6"/>
    <mergeCell ref="E7:F7"/>
    <mergeCell ref="G7:H7"/>
    <mergeCell ref="I7:J7"/>
    <mergeCell ref="L7:M7"/>
  </mergeCells>
  <phoneticPr fontId="1" type="noConversion"/>
  <conditionalFormatting sqref="F43:G50">
    <cfRule type="expression" dxfId="80" priority="20">
      <formula>0</formula>
    </cfRule>
  </conditionalFormatting>
  <conditionalFormatting sqref="I7">
    <cfRule type="expression" dxfId="79" priority="21">
      <formula>$I$7=0</formula>
    </cfRule>
  </conditionalFormatting>
  <conditionalFormatting sqref="L8:M8">
    <cfRule type="expression" dxfId="78" priority="19">
      <formula>$L$8=0</formula>
    </cfRule>
  </conditionalFormatting>
  <conditionalFormatting sqref="H43:H50">
    <cfRule type="expression" dxfId="77" priority="18">
      <formula>0</formula>
    </cfRule>
  </conditionalFormatting>
  <conditionalFormatting sqref="J43:J50">
    <cfRule type="expression" dxfId="76" priority="17">
      <formula>0</formula>
    </cfRule>
  </conditionalFormatting>
  <conditionalFormatting sqref="I43:I50">
    <cfRule type="expression" dxfId="75" priority="16">
      <formula>0</formula>
    </cfRule>
  </conditionalFormatting>
  <conditionalFormatting sqref="A39:D50">
    <cfRule type="expression" dxfId="74" priority="13">
      <formula>$A$39=0</formula>
    </cfRule>
  </conditionalFormatting>
  <conditionalFormatting sqref="A52:D59">
    <cfRule type="expression" dxfId="73" priority="12">
      <formula>$A$52=0</formula>
    </cfRule>
  </conditionalFormatting>
  <conditionalFormatting sqref="E52:G59">
    <cfRule type="expression" dxfId="72" priority="11">
      <formula>E52=0</formula>
    </cfRule>
  </conditionalFormatting>
  <conditionalFormatting sqref="H52:J59">
    <cfRule type="expression" dxfId="71" priority="10">
      <formula>H52=0</formula>
    </cfRule>
  </conditionalFormatting>
  <conditionalFormatting sqref="K52:M59">
    <cfRule type="expression" dxfId="70" priority="9">
      <formula>K52=0</formula>
    </cfRule>
  </conditionalFormatting>
  <conditionalFormatting sqref="K43:K50">
    <cfRule type="expression" dxfId="69" priority="6">
      <formula>0</formula>
    </cfRule>
  </conditionalFormatting>
  <conditionalFormatting sqref="A1">
    <cfRule type="duplicateValues" dxfId="68" priority="1"/>
  </conditionalFormatting>
  <pageMargins left="0.25" right="0.25" top="0.75" bottom="0.75" header="0.3" footer="0.3"/>
  <pageSetup paperSize="9" scale="6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244D2-B506-4F7B-8A41-706DAAB55A8E}">
  <sheetPr codeName="Sheet4">
    <pageSetUpPr fitToPage="1"/>
  </sheetPr>
  <dimension ref="A1:F34"/>
  <sheetViews>
    <sheetView zoomScale="140" zoomScaleNormal="140" workbookViewId="0">
      <selection activeCell="B4" sqref="B4"/>
    </sheetView>
  </sheetViews>
  <sheetFormatPr defaultRowHeight="16.5"/>
  <cols>
    <col min="2" max="2" width="21.125" customWidth="1"/>
    <col min="3" max="6" width="15.625" customWidth="1"/>
    <col min="7" max="7" width="8.875" bestFit="1" customWidth="1"/>
  </cols>
  <sheetData>
    <row r="1" spans="1:6" ht="19.899999999999999" customHeight="1">
      <c r="A1" s="31" t="s">
        <v>20</v>
      </c>
      <c r="B1" s="222" t="str">
        <f>IFERROR(VLOOKUP($B4,실험지시_김도균!$A:$S,14,0),"")</f>
        <v xml:space="preserve">T2 시사출 </v>
      </c>
      <c r="C1" s="222"/>
      <c r="D1" s="222"/>
      <c r="E1" s="222"/>
      <c r="F1" s="222"/>
    </row>
    <row r="2" spans="1:6" ht="19.899999999999999" customHeight="1">
      <c r="A2" s="37" t="s">
        <v>150</v>
      </c>
      <c r="B2" s="223">
        <f>IFERROR(VLOOKUP($B4,실험지시_김도균!$A:$S,19,0),"")</f>
        <v>0</v>
      </c>
      <c r="C2" s="224"/>
      <c r="D2" s="224"/>
      <c r="E2" s="224"/>
      <c r="F2" s="225"/>
    </row>
    <row r="3" spans="1:6" ht="19.899999999999999" customHeight="1">
      <c r="A3" s="31" t="s">
        <v>0</v>
      </c>
      <c r="B3" s="226" t="str">
        <f>IFERROR(VLOOKUP($B$4,실험지시_김도균!$A:$N,2,0),"")</f>
        <v>설화수 진설명작크림 60ML (26AD 외용기</v>
      </c>
      <c r="C3" s="227"/>
      <c r="D3" s="228"/>
      <c r="E3" s="32" t="s">
        <v>142</v>
      </c>
      <c r="F3" s="33">
        <f>IFERROR(VLOOKUP($B$4,실험지시_김도균!$A:$N,13,0),"")</f>
        <v>200</v>
      </c>
    </row>
    <row r="4" spans="1:6" ht="30" customHeight="1">
      <c r="A4" s="5" t="s">
        <v>18</v>
      </c>
      <c r="B4" s="75" t="s">
        <v>516</v>
      </c>
      <c r="C4" s="170" t="str">
        <f>IF(ISNUMBER(FIND("_", $B$8)), IFERROR(VLOOKUP($B$8, [6]BOM_도면!$F:$Q, 2, 0), ""), IFERROR(VLOOKUP($B$8, [6]BOM_도면!$C:$Q, 5, 0), ""))</f>
        <v/>
      </c>
      <c r="D4" s="170"/>
      <c r="E4" s="170"/>
      <c r="F4" s="170"/>
    </row>
    <row r="5" spans="1:6" ht="30" customHeight="1">
      <c r="A5" s="5" t="s">
        <v>15</v>
      </c>
      <c r="B5" s="17">
        <f>IFERROR(VLOOKUP($B$4,실험지시_김도균!$A:$N,5,0),"")</f>
        <v>45888</v>
      </c>
      <c r="C5" s="170"/>
      <c r="D5" s="170"/>
      <c r="E5" s="170"/>
      <c r="F5" s="170"/>
    </row>
    <row r="6" spans="1:6" ht="30" customHeight="1">
      <c r="A6" s="5" t="s">
        <v>17</v>
      </c>
      <c r="B6" s="2" t="str">
        <f>IFERROR(VLOOKUP($B$4,실험지시_김도균!$A:$N,6,0),"")</f>
        <v>유재호</v>
      </c>
      <c r="C6" s="170"/>
      <c r="D6" s="170"/>
      <c r="E6" s="170"/>
      <c r="F6" s="170"/>
    </row>
    <row r="7" spans="1:6" ht="30" customHeight="1">
      <c r="A7" s="5" t="s">
        <v>21</v>
      </c>
      <c r="B7" s="18">
        <f>IFERROR(VLOOKUP($B$4, 실험지시_김도균!$A:$N, 10, 0), "")</f>
        <v>17</v>
      </c>
      <c r="C7" s="170"/>
      <c r="D7" s="170"/>
      <c r="E7" s="170"/>
      <c r="F7" s="170"/>
    </row>
    <row r="8" spans="1:6" ht="30" customHeight="1">
      <c r="A8" s="5" t="s">
        <v>19</v>
      </c>
      <c r="B8" s="48" t="str">
        <f>IF(VLOOKUP($B$4,실험지시_김도균!$A:$Q,11,0)="",LEFT($B$4,FIND("_",$B$4)-1),LEFT($B$4,FIND("_",$B$4)-1)&amp;"_"&amp;VLOOKUP($B$4,실험지시_김도균!$A:$Q,11,0))</f>
        <v>SI1619_250725</v>
      </c>
      <c r="C8" s="170"/>
      <c r="D8" s="170"/>
      <c r="E8" s="170"/>
      <c r="F8" s="170"/>
    </row>
    <row r="9" spans="1:6" ht="30" customHeight="1">
      <c r="A9" s="5" t="s">
        <v>2</v>
      </c>
      <c r="B9" s="25" t="str">
        <f>VLOOKUP($B4,실험지시_김도균!$A:$Q,12,0)</f>
        <v>M251189_01</v>
      </c>
      <c r="C9" s="170"/>
      <c r="D9" s="170"/>
      <c r="E9" s="170"/>
      <c r="F9" s="170"/>
    </row>
    <row r="10" spans="1:6" ht="30" customHeight="1">
      <c r="A10" s="5" t="s">
        <v>22</v>
      </c>
      <c r="B10" s="4" t="str">
        <f>VLOOKUP($B4,실험지시_김도균!$A:$Q,7,0)</f>
        <v>PETG (SK케미칼 PN200)</v>
      </c>
      <c r="C10" s="170"/>
      <c r="D10" s="170"/>
      <c r="E10" s="170"/>
      <c r="F10" s="170"/>
    </row>
    <row r="11" spans="1:6" ht="30" customHeight="1">
      <c r="A11" s="5" t="s">
        <v>23</v>
      </c>
      <c r="B11" s="25" t="str">
        <f>VLOOKUP($B4,실험지시_김도균!$A:$Q,8,0)</f>
        <v>DJ250704-1</v>
      </c>
      <c r="C11" s="170"/>
      <c r="D11" s="170"/>
      <c r="E11" s="170"/>
      <c r="F11" s="170"/>
    </row>
    <row r="12" spans="1:6" ht="30" customHeight="1">
      <c r="A12" s="5" t="s">
        <v>24</v>
      </c>
      <c r="B12" s="19">
        <f>VLOOKUP($B4,실험지시_김도균!$A:$Q,9,0)/100</f>
        <v>0.05</v>
      </c>
      <c r="C12" s="170"/>
      <c r="D12" s="170"/>
      <c r="E12" s="170"/>
      <c r="F12" s="170"/>
    </row>
    <row r="14" spans="1:6">
      <c r="A14" s="5" t="s">
        <v>69</v>
      </c>
      <c r="C14" s="221" t="str">
        <f>IF(ISNUMBER(FIND("_", $B$8)), IFERROR(VLOOKUP($B$8, [6]BOM_도면!$F:$Q, 3, 0), ""), IFERROR(VLOOKUP($B$8, [6]BOM_도면!$C:$Q, 6, 0), ""))</f>
        <v/>
      </c>
      <c r="D14" s="221"/>
      <c r="E14" s="221"/>
      <c r="F14" s="221"/>
    </row>
    <row r="15" spans="1:6">
      <c r="C15" s="221"/>
      <c r="D15" s="221"/>
      <c r="E15" s="221"/>
      <c r="F15" s="221"/>
    </row>
    <row r="16" spans="1:6">
      <c r="C16" s="221"/>
      <c r="D16" s="221"/>
      <c r="E16" s="221"/>
      <c r="F16" s="221"/>
    </row>
    <row r="17" spans="1:6">
      <c r="C17" s="221"/>
      <c r="D17" s="221"/>
      <c r="E17" s="221"/>
      <c r="F17" s="221"/>
    </row>
    <row r="18" spans="1:6">
      <c r="C18" s="221"/>
      <c r="D18" s="221"/>
      <c r="E18" s="221"/>
      <c r="F18" s="221"/>
    </row>
    <row r="19" spans="1:6">
      <c r="C19" s="221"/>
      <c r="D19" s="221"/>
      <c r="E19" s="221"/>
      <c r="F19" s="221"/>
    </row>
    <row r="20" spans="1:6">
      <c r="C20" s="221"/>
      <c r="D20" s="221"/>
      <c r="E20" s="221"/>
      <c r="F20" s="221"/>
    </row>
    <row r="21" spans="1:6">
      <c r="A21" s="5" t="s">
        <v>70</v>
      </c>
      <c r="C21" s="221" t="str">
        <f>IF(ISNUMBER(FIND("_", $B$8)), IFERROR(VLOOKUP($B$8, [6]BOM_도면!$F:$Q, 6, 0), ""), IFERROR(VLOOKUP($B$8, [6]BOM_도면!$C:$Q, 9, 0), ""))</f>
        <v/>
      </c>
      <c r="D21" s="221"/>
      <c r="E21" s="221"/>
      <c r="F21" s="221"/>
    </row>
    <row r="22" spans="1:6">
      <c r="C22" s="221"/>
      <c r="D22" s="221"/>
      <c r="E22" s="221"/>
      <c r="F22" s="221"/>
    </row>
    <row r="23" spans="1:6">
      <c r="C23" s="221"/>
      <c r="D23" s="221"/>
      <c r="E23" s="221"/>
      <c r="F23" s="221"/>
    </row>
    <row r="24" spans="1:6">
      <c r="C24" s="221"/>
      <c r="D24" s="221"/>
      <c r="E24" s="221"/>
      <c r="F24" s="221"/>
    </row>
    <row r="25" spans="1:6">
      <c r="C25" s="221"/>
      <c r="D25" s="221"/>
      <c r="E25" s="221"/>
      <c r="F25" s="221"/>
    </row>
    <row r="26" spans="1:6">
      <c r="C26" s="221"/>
      <c r="D26" s="221"/>
      <c r="E26" s="221"/>
      <c r="F26" s="221"/>
    </row>
    <row r="27" spans="1:6">
      <c r="C27" s="221"/>
      <c r="D27" s="221"/>
      <c r="E27" s="221"/>
      <c r="F27" s="221"/>
    </row>
    <row r="28" spans="1:6">
      <c r="A28" s="5" t="s">
        <v>71</v>
      </c>
      <c r="C28" s="221" t="str">
        <f>IF(ISNUMBER(FIND("_", $B$8)), IFERROR(VLOOKUP($B$8, [6]BOM_도면!$F:$Q, 9, 0), ""), IFERROR(VLOOKUP($B$8, [6]BOM_도면!$C:$Q, 12, 0), ""))</f>
        <v/>
      </c>
      <c r="D28" s="221"/>
      <c r="E28" s="221"/>
      <c r="F28" s="221"/>
    </row>
    <row r="29" spans="1:6">
      <c r="C29" s="221"/>
      <c r="D29" s="221"/>
      <c r="E29" s="221"/>
      <c r="F29" s="221"/>
    </row>
    <row r="30" spans="1:6">
      <c r="C30" s="221"/>
      <c r="D30" s="221"/>
      <c r="E30" s="221"/>
      <c r="F30" s="221"/>
    </row>
    <row r="31" spans="1:6">
      <c r="C31" s="221"/>
      <c r="D31" s="221"/>
      <c r="E31" s="221"/>
      <c r="F31" s="221"/>
    </row>
    <row r="32" spans="1:6">
      <c r="C32" s="221"/>
      <c r="D32" s="221"/>
      <c r="E32" s="221"/>
      <c r="F32" s="221"/>
    </row>
    <row r="33" spans="3:6">
      <c r="C33" s="221"/>
      <c r="D33" s="221"/>
      <c r="E33" s="221"/>
      <c r="F33" s="221"/>
    </row>
    <row r="34" spans="3:6">
      <c r="C34" s="221"/>
      <c r="D34" s="221"/>
      <c r="E34" s="221"/>
      <c r="F34" s="221"/>
    </row>
  </sheetData>
  <mergeCells count="7">
    <mergeCell ref="C21:F27"/>
    <mergeCell ref="C4:F12"/>
    <mergeCell ref="B1:F1"/>
    <mergeCell ref="C14:F20"/>
    <mergeCell ref="C28:F34"/>
    <mergeCell ref="B2:F2"/>
    <mergeCell ref="B3:D3"/>
  </mergeCells>
  <phoneticPr fontId="1" type="noConversion"/>
  <conditionalFormatting sqref="B4">
    <cfRule type="duplicateValues" dxfId="13" priority="1"/>
  </conditionalFormatting>
  <printOptions horizontalCentered="1"/>
  <pageMargins left="0" right="0" top="0.74803149606299213" bottom="0" header="0.31496062992125984" footer="0"/>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D76F565D-094C-42B9-8F14-2E3A4F53D897}">
          <x14:formula1>
            <xm:f>실험지시_김도균!$A:$A</xm:f>
          </x14:formula1>
          <xm:sqref>B4</xm:sqref>
        </x14:dataValidation>
        <x14:dataValidation type="list" allowBlank="1" showInputMessage="1" showErrorMessage="1" xr:uid="{134C407F-FD45-4C71-B628-75AF2F2C147A}">
          <x14:formula1>
            <xm:f>실험지시_김도균!$H:$H</xm:f>
          </x14:formula1>
          <xm:sqref>A8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D995-F0FF-4765-B5F6-4B7C7687CA23}">
  <sheetPr codeName="Sheet3">
    <tabColor rgb="FFFFFF00"/>
    <pageSetUpPr fitToPage="1"/>
  </sheetPr>
  <dimension ref="A1:C6"/>
  <sheetViews>
    <sheetView zoomScaleNormal="100" workbookViewId="0">
      <selection activeCell="B1" sqref="B1"/>
    </sheetView>
  </sheetViews>
  <sheetFormatPr defaultRowHeight="30" customHeight="1"/>
  <cols>
    <col min="1" max="1" width="22" customWidth="1"/>
    <col min="2" max="2" width="37.875" customWidth="1"/>
    <col min="3" max="3" width="13.25" customWidth="1"/>
  </cols>
  <sheetData>
    <row r="1" spans="1:3" ht="30" customHeight="1">
      <c r="A1" s="138" t="s">
        <v>10</v>
      </c>
      <c r="B1" s="139" t="s">
        <v>1839</v>
      </c>
      <c r="C1" s="140"/>
    </row>
    <row r="2" spans="1:3" ht="49.9" customHeight="1">
      <c r="A2" s="141" t="s">
        <v>78</v>
      </c>
      <c r="B2" s="229" t="str">
        <f>VLOOKUP($B$1,실험지시_김도균!$A:$L,2,0)</f>
        <v>설화수 진설명작크림 60ML (26AD 외용기</v>
      </c>
      <c r="C2" s="230"/>
    </row>
    <row r="3" spans="1:3" ht="30" customHeight="1">
      <c r="A3" s="141" t="s">
        <v>294</v>
      </c>
      <c r="B3" s="229" t="str">
        <f>VLOOKUP($B$1,실험지시_김도균!$A:$L,7,0)</f>
        <v>PETG (SK케미칼 PN200)</v>
      </c>
      <c r="C3" s="230"/>
    </row>
    <row r="4" spans="1:3" ht="30" customHeight="1">
      <c r="A4" s="141" t="s">
        <v>295</v>
      </c>
      <c r="B4" s="142" t="str">
        <f>VLOOKUP($B$1,실험지시_김도균!$A:$L,8,0)</f>
        <v>DJ260616-24</v>
      </c>
      <c r="C4" s="143" t="str">
        <f>VLOOKUP($B$1,실험지시_김도균!$A:$L,9,0)</f>
        <v>3%, 4%</v>
      </c>
    </row>
    <row r="5" spans="1:3" ht="30" customHeight="1">
      <c r="A5" s="141" t="s">
        <v>293</v>
      </c>
      <c r="B5" s="231">
        <f>VLOOKUP($B$1,실험지시_김도균!$A:$L,5,0)</f>
        <v>46198</v>
      </c>
      <c r="C5" s="232"/>
    </row>
    <row r="6" spans="1:3" ht="30" customHeight="1" thickBot="1">
      <c r="A6" s="144" t="s">
        <v>1758</v>
      </c>
      <c r="B6" s="233"/>
      <c r="C6" s="234"/>
    </row>
  </sheetData>
  <mergeCells count="4">
    <mergeCell ref="B2:C2"/>
    <mergeCell ref="B3:C3"/>
    <mergeCell ref="B5:C5"/>
    <mergeCell ref="B6:C6"/>
  </mergeCells>
  <phoneticPr fontId="1" type="noConversion"/>
  <printOptions horizontalCentered="1" verticalCentered="1"/>
  <pageMargins left="0" right="0" top="0" bottom="0" header="0" footer="0"/>
  <pageSetup paperSize="257" scale="67" orientation="landscape" horizontalDpi="203" verticalDpi="20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DBA0A-6405-423B-9559-147C04697ABD}">
  <sheetPr codeName="Sheet16">
    <pageSetUpPr fitToPage="1"/>
  </sheetPr>
  <dimension ref="A1:Q59"/>
  <sheetViews>
    <sheetView topLeftCell="A24" zoomScaleNormal="100" zoomScaleSheetLayoutView="100" workbookViewId="0">
      <selection activeCell="C5" sqref="C5:F5"/>
    </sheetView>
  </sheetViews>
  <sheetFormatPr defaultRowHeight="16.5"/>
  <cols>
    <col min="1" max="1" width="21.375" customWidth="1"/>
    <col min="2" max="2" width="10.625" customWidth="1"/>
    <col min="3" max="3" width="9.125" customWidth="1"/>
    <col min="4" max="4" width="10.125" customWidth="1"/>
    <col min="6" max="6" width="8.875" customWidth="1"/>
    <col min="8" max="8" width="9.125" customWidth="1"/>
    <col min="16" max="16" width="16.125" bestFit="1" customWidth="1"/>
  </cols>
  <sheetData>
    <row r="1" spans="1:17" ht="17.25" thickBot="1">
      <c r="A1" s="128" t="s">
        <v>519</v>
      </c>
      <c r="C1" s="49" t="str">
        <f>LEFT($A$1, FIND("_", $A$1) - 1)</f>
        <v>SI1622</v>
      </c>
      <c r="D1" t="str">
        <f>IF(VLOOKUP($A$1,실험지시_김도균!$A:$Q,11,0)="",LEFT($A$1,FIND("_",$A$1)-1),LEFT($A$1,FIND("_",$A$1)-1)&amp;"_"&amp;VLOOKUP($A$1,실험지시_김도균!$A:$Q,11,0))</f>
        <v>SI1622</v>
      </c>
    </row>
    <row r="2" spans="1:17">
      <c r="A2" s="50"/>
      <c r="B2" s="51"/>
      <c r="C2" s="52"/>
      <c r="D2" s="51"/>
      <c r="E2" s="51"/>
      <c r="F2" s="51"/>
      <c r="G2" s="51"/>
      <c r="H2" s="51"/>
      <c r="I2" s="51"/>
      <c r="J2" s="51"/>
      <c r="K2" s="51"/>
      <c r="L2" s="51"/>
      <c r="M2" s="53"/>
    </row>
    <row r="3" spans="1:17" ht="31.5">
      <c r="A3" s="148" t="s">
        <v>301</v>
      </c>
      <c r="B3" s="149"/>
      <c r="C3" s="149"/>
      <c r="D3" s="149"/>
      <c r="E3" s="149"/>
      <c r="F3" s="149"/>
      <c r="G3" s="149"/>
      <c r="H3" s="149"/>
      <c r="I3" s="149"/>
      <c r="J3" s="149"/>
      <c r="K3" s="149"/>
      <c r="L3" s="149"/>
      <c r="M3" s="6"/>
    </row>
    <row r="4" spans="1:17">
      <c r="A4" s="41" t="s">
        <v>168</v>
      </c>
      <c r="B4" s="150">
        <f>VLOOKUP($A$1,실험지시_김도균!$A:$F,5,0)</f>
        <v>45883</v>
      </c>
      <c r="C4" s="150"/>
      <c r="D4" s="54"/>
      <c r="E4" s="54"/>
      <c r="F4" s="84" t="s">
        <v>167</v>
      </c>
      <c r="G4" s="54" t="str">
        <f>VLOOKUP($A$1,실험지시_김도균!$A:$F,6,0)</f>
        <v>유재호</v>
      </c>
      <c r="H4" s="54"/>
      <c r="I4" s="54"/>
      <c r="J4" s="54"/>
      <c r="K4" s="151"/>
      <c r="L4" s="151"/>
      <c r="M4" s="152"/>
      <c r="N4" s="54"/>
      <c r="O4" s="54"/>
      <c r="P4" s="54"/>
      <c r="Q4" s="54"/>
    </row>
    <row r="5" spans="1:17" ht="16.899999999999999" customHeight="1">
      <c r="A5" s="153" t="s">
        <v>29</v>
      </c>
      <c r="B5" s="20" t="s">
        <v>1</v>
      </c>
      <c r="C5" s="154" t="str">
        <f>INDEX([6]BOM_개발품목!$B:$B,MATCH($C$1,[6]BOM_개발품목!$D:$D,0))</f>
        <v>A6867</v>
      </c>
      <c r="D5" s="154"/>
      <c r="E5" s="154"/>
      <c r="F5" s="154"/>
      <c r="G5" s="155" t="s">
        <v>30</v>
      </c>
      <c r="H5" s="155"/>
      <c r="I5" s="235" t="e">
        <f>INDEX([7]개발제품!$D:$D,MATCH($C$5,[7]개발제품!$B:$B,0))</f>
        <v>#N/A</v>
      </c>
      <c r="J5" s="235"/>
      <c r="K5" s="29" t="s">
        <v>31</v>
      </c>
      <c r="L5" s="157">
        <f>IFERROR(IF(Q17&gt;Q18,Q17,Q18),"")</f>
        <v>2.4700000000000002</v>
      </c>
      <c r="M5" s="158"/>
    </row>
    <row r="6" spans="1:17" ht="16.899999999999999" customHeight="1">
      <c r="A6" s="153"/>
      <c r="B6" s="20" t="s">
        <v>78</v>
      </c>
      <c r="C6" s="159" t="str">
        <f>VLOOKUP($A$1,실험지시_김도균!$A:$T,2,0)</f>
        <v>설화수 진설명작크림 60ML (26AD 스파츌러대 사출</v>
      </c>
      <c r="D6" s="159"/>
      <c r="E6" s="159"/>
      <c r="F6" s="159"/>
      <c r="G6" s="155" t="s">
        <v>32</v>
      </c>
      <c r="H6" s="155"/>
      <c r="I6" s="160" t="s">
        <v>16</v>
      </c>
      <c r="J6" s="160"/>
      <c r="K6" s="29" t="s">
        <v>33</v>
      </c>
      <c r="L6" s="157">
        <f>IFERROR(Q8,"")</f>
        <v>14.74</v>
      </c>
      <c r="M6" s="158"/>
    </row>
    <row r="7" spans="1:17" ht="16.899999999999999" customHeight="1">
      <c r="A7" s="153"/>
      <c r="B7" s="21" t="s">
        <v>34</v>
      </c>
      <c r="C7" s="45" t="e">
        <f>INDEX([7]개발제품!$C:$C,MATCH($C$5,[7]개발제품!$B:$B,0))</f>
        <v>#N/A</v>
      </c>
      <c r="D7" s="56" t="s">
        <v>173</v>
      </c>
      <c r="E7" s="161" t="str">
        <f>VLOOKUP($A$1,실험지시_김도균!$A:$Q,12,0)</f>
        <v>M251192_01</v>
      </c>
      <c r="F7" s="161"/>
      <c r="G7" s="155" t="s">
        <v>35</v>
      </c>
      <c r="H7" s="155"/>
      <c r="I7" s="236" t="e">
        <f>INDEX([7]개발제품!$E:$E,MATCH($C$5,[7]개발제품!$B:$B,0))</f>
        <v>#N/A</v>
      </c>
      <c r="J7" s="236"/>
      <c r="K7" s="22" t="s">
        <v>37</v>
      </c>
      <c r="L7" s="163" t="str">
        <f>"1X"&amp;INDEX([6]BOM_개발품목!$F:$F,MATCH($C$1,[6]BOM_개발품목!$D:$D,0))</f>
        <v>1X4</v>
      </c>
      <c r="M7" s="164"/>
    </row>
    <row r="8" spans="1:17" ht="16.899999999999999" customHeight="1">
      <c r="A8" s="153"/>
      <c r="B8" s="20" t="s">
        <v>166</v>
      </c>
      <c r="C8" s="55">
        <f>VLOOKUP(E8,'[2]사출기 및 로보트 현황'!$A:$B,2,0)</f>
        <v>150</v>
      </c>
      <c r="D8" s="29" t="s">
        <v>36</v>
      </c>
      <c r="E8" s="165">
        <f>VLOOKUP($A$1,실험지시_김도균!$A:$J,10,0)</f>
        <v>20</v>
      </c>
      <c r="F8" s="165"/>
      <c r="G8" s="166" t="s">
        <v>38</v>
      </c>
      <c r="H8" s="166"/>
      <c r="I8" s="167" t="str">
        <f>VLOOKUP($A$1,실험지시_김도균!$A:$J,7,0)</f>
        <v>PN200</v>
      </c>
      <c r="J8" s="167"/>
      <c r="K8" s="29" t="s">
        <v>39</v>
      </c>
      <c r="L8" s="168" t="str">
        <f>VLOOKUP($A$1,실험지시_김도균!$A:$J,8,0)&amp;"  "&amp;VLOOKUP($A$1,실험지시_김도균!$A:$J,9,0)&amp;"%"</f>
        <v xml:space="preserve">  %</v>
      </c>
      <c r="M8" s="169"/>
      <c r="P8" s="28" t="s">
        <v>33</v>
      </c>
      <c r="Q8" s="30">
        <f>VLOOKUP($A$1,[3]측정!$A:$BL,56,0)</f>
        <v>14.74</v>
      </c>
    </row>
    <row r="9" spans="1:17">
      <c r="A9" s="7"/>
      <c r="K9" s="170"/>
      <c r="L9" s="170"/>
      <c r="M9" s="171"/>
      <c r="P9" s="28" t="s">
        <v>127</v>
      </c>
      <c r="Q9" s="38">
        <f>VLOOKUP($A$1,[3]측정!$A:$BL,57,0)</f>
        <v>2.4700000000000002</v>
      </c>
    </row>
    <row r="10" spans="1:17">
      <c r="A10" s="7"/>
      <c r="M10" s="6"/>
      <c r="P10" s="28" t="s">
        <v>128</v>
      </c>
      <c r="Q10" s="38">
        <f>VLOOKUP($A$1,[3]측정!$A:$BL,58,0)</f>
        <v>2.4700000000000002</v>
      </c>
    </row>
    <row r="11" spans="1:17">
      <c r="A11" s="7"/>
      <c r="M11" s="6"/>
      <c r="P11" s="28" t="s">
        <v>129</v>
      </c>
      <c r="Q11" s="38">
        <f>VLOOKUP($A$1,[3]측정!$A:$BL,59,0)</f>
        <v>2.4700000000000002</v>
      </c>
    </row>
    <row r="12" spans="1:17" ht="16.899999999999999" customHeight="1">
      <c r="A12" s="204" t="s">
        <v>40</v>
      </c>
      <c r="B12" s="205" t="s">
        <v>25</v>
      </c>
      <c r="C12" s="8" t="s">
        <v>41</v>
      </c>
      <c r="D12" s="8">
        <v>10</v>
      </c>
      <c r="E12" s="8">
        <v>9</v>
      </c>
      <c r="F12" s="8">
        <v>8</v>
      </c>
      <c r="G12" s="8">
        <v>7</v>
      </c>
      <c r="H12" s="8">
        <v>6</v>
      </c>
      <c r="I12" s="8">
        <v>5</v>
      </c>
      <c r="J12" s="8">
        <v>4</v>
      </c>
      <c r="K12" s="8">
        <v>3</v>
      </c>
      <c r="L12" s="8">
        <v>2</v>
      </c>
      <c r="M12" s="26">
        <v>1</v>
      </c>
      <c r="P12" s="28" t="s">
        <v>130</v>
      </c>
      <c r="Q12" s="38">
        <f>VLOOKUP($A$1,[3]측정!$A:$BL,60,0)</f>
        <v>2.4500000000000002</v>
      </c>
    </row>
    <row r="13" spans="1:17" ht="16.899999999999999" customHeight="1">
      <c r="A13" s="204"/>
      <c r="B13" s="205"/>
      <c r="C13" s="9" t="s">
        <v>42</v>
      </c>
      <c r="D13" s="16">
        <f>IFERROR(VLOOKUP($A$1,[3]사출실험_사출!$A:$AF,12,0),"")</f>
        <v>0</v>
      </c>
      <c r="E13" s="16">
        <f>IFERROR(VLOOKUP($A$1,[3]사출실험_사출!$A:$AF,11,0),"")</f>
        <v>0</v>
      </c>
      <c r="F13" s="16">
        <f>IFERROR(VLOOKUP($A$1,[3]사출실험_사출!$A:$AF,10,0),"")</f>
        <v>0</v>
      </c>
      <c r="G13" s="16">
        <f>IFERROR(VLOOKUP($A$1,[3]사출실험_사출!$A:$AF,9,0),"")</f>
        <v>0</v>
      </c>
      <c r="H13" s="16">
        <f>IFERROR(VLOOKUP($A$1,[3]사출실험_사출!$A:$AF,8,0),"")</f>
        <v>0</v>
      </c>
      <c r="I13" s="16">
        <f>IFERROR(VLOOKUP($A$1,[3]사출실험_사출!$A:$AF,7,0),"")</f>
        <v>0</v>
      </c>
      <c r="J13" s="16">
        <f>IFERROR(VLOOKUP($A$1,[3]사출실험_사출!$A:$AF,6,0),"")</f>
        <v>3</v>
      </c>
      <c r="K13" s="16">
        <f>IFERROR(VLOOKUP($A$1,[3]사출실험_사출!$A:$AF,5,0),"")</f>
        <v>3</v>
      </c>
      <c r="L13" s="16">
        <f>IFERROR(VLOOKUP($A$1,[3]사출실험_사출!$A:$AF,4,0),"")</f>
        <v>3</v>
      </c>
      <c r="M13" s="27">
        <f>IFERROR(VLOOKUP($A$1,[3]사출실험_사출!$A:$AF,3,0),"")</f>
        <v>4</v>
      </c>
      <c r="P13" s="28" t="s">
        <v>131</v>
      </c>
      <c r="Q13" s="38">
        <f>VLOOKUP($A$1,[3]측정!$A:$BL,61,0)</f>
        <v>0</v>
      </c>
    </row>
    <row r="14" spans="1:17" ht="16.899999999999999" customHeight="1">
      <c r="A14" s="204"/>
      <c r="B14" s="205"/>
      <c r="C14" s="8" t="s">
        <v>43</v>
      </c>
      <c r="D14" s="16">
        <f>IFERROR(VLOOKUP($A$1,[3]사출실험_사출!$A:$AF,22,0),"")</f>
        <v>0</v>
      </c>
      <c r="E14" s="16">
        <f>IFERROR(VLOOKUP($A$1,[3]사출실험_사출!$A:$AF,21,0),"")</f>
        <v>0</v>
      </c>
      <c r="F14" s="16">
        <f>IFERROR(VLOOKUP($A$1,[3]사출실험_사출!$A:$AF,20,0),"")</f>
        <v>0</v>
      </c>
      <c r="G14" s="16">
        <f>IFERROR(VLOOKUP($A$1,[3]사출실험_사출!$A:$AF,19,0),"")</f>
        <v>0</v>
      </c>
      <c r="H14" s="16">
        <f>IFERROR(VLOOKUP($A$1,[3]사출실험_사출!$A:$AF,18,0),"")</f>
        <v>0</v>
      </c>
      <c r="I14" s="16">
        <f>IFERROR(VLOOKUP($A$1,[3]사출실험_사출!$A:$AF,17,0),"")</f>
        <v>0</v>
      </c>
      <c r="J14" s="16">
        <f>IFERROR(VLOOKUP($A$1,[3]사출실험_사출!$A:$AF,16,0),"")</f>
        <v>130</v>
      </c>
      <c r="K14" s="16">
        <f>IFERROR(VLOOKUP($A$1,[3]사출실험_사출!$A:$AF,15,0),"")</f>
        <v>130</v>
      </c>
      <c r="L14" s="16">
        <f>IFERROR(VLOOKUP($A$1,[3]사출실험_사출!$A:$AF,14,0),"")</f>
        <v>130</v>
      </c>
      <c r="M14" s="27">
        <f>IFERROR(VLOOKUP($A$1,[3]사출실험_사출!$A:$AF,13,0),"")</f>
        <v>130</v>
      </c>
      <c r="P14" s="28" t="s">
        <v>132</v>
      </c>
      <c r="Q14" s="38">
        <f>VLOOKUP($A$1,[3]측정!$A:$BL,62,0)</f>
        <v>0</v>
      </c>
    </row>
    <row r="15" spans="1:17" ht="17.649999999999999" customHeight="1" thickBot="1">
      <c r="A15" s="204"/>
      <c r="B15" s="205"/>
      <c r="C15" s="10" t="s">
        <v>44</v>
      </c>
      <c r="D15" s="16">
        <f>IFERROR(VLOOKUP($A$1,[3]사출실험_사출!$A:$AF,32,0),"")</f>
        <v>0</v>
      </c>
      <c r="E15" s="16">
        <f>IFERROR(VLOOKUP($A$1,[3]사출실험_사출!$A:$AF,31,0),"")</f>
        <v>0</v>
      </c>
      <c r="F15" s="16">
        <f>IFERROR(VLOOKUP($A$1,[3]사출실험_사출!$A:$AF,30,0),"")</f>
        <v>0</v>
      </c>
      <c r="G15" s="16">
        <f>IFERROR(VLOOKUP($A$1,[3]사출실험_사출!$A:$AF,29,0),"")</f>
        <v>0</v>
      </c>
      <c r="H15" s="16">
        <f>IFERROR(VLOOKUP($A$1,[3]사출실험_사출!$A:$AF,28,0),"")</f>
        <v>0</v>
      </c>
      <c r="I15" s="16">
        <f>IFERROR(VLOOKUP($A$1,[3]사출실험_사출!$A:$AF,27,0),"")</f>
        <v>0</v>
      </c>
      <c r="J15" s="16">
        <f>IFERROR(VLOOKUP($A$1,[3]사출실험_사출!$A:$AF,26,0),"")</f>
        <v>0</v>
      </c>
      <c r="K15" s="16">
        <f>IFERROR(VLOOKUP($A$1,[3]사출실험_사출!$A:$AF,25,0),"")</f>
        <v>16</v>
      </c>
      <c r="L15" s="16">
        <f>IFERROR(VLOOKUP($A$1,[3]사출실험_사출!$A:$AF,24,0),"")</f>
        <v>28</v>
      </c>
      <c r="M15" s="27">
        <f>IFERROR(VLOOKUP($A$1,[3]사출실험_사출!$A:$AF,23,0),"")</f>
        <v>32</v>
      </c>
      <c r="P15" s="28" t="s">
        <v>133</v>
      </c>
      <c r="Q15" s="38">
        <f>VLOOKUP($A$1,[3]측정!$A:$BL,63,0)</f>
        <v>0</v>
      </c>
    </row>
    <row r="16" spans="1:17" ht="17.649999999999999" customHeight="1" thickTop="1">
      <c r="A16" s="204"/>
      <c r="B16" s="205" t="s">
        <v>26</v>
      </c>
      <c r="C16" s="11" t="s">
        <v>41</v>
      </c>
      <c r="D16" s="12">
        <v>3</v>
      </c>
      <c r="E16" s="12">
        <v>2</v>
      </c>
      <c r="F16" s="12">
        <v>1</v>
      </c>
      <c r="G16" s="207" t="s">
        <v>45</v>
      </c>
      <c r="H16" s="208"/>
      <c r="J16" s="76"/>
      <c r="M16" s="6"/>
      <c r="P16" s="28" t="s">
        <v>134</v>
      </c>
      <c r="Q16" s="38">
        <f>VLOOKUP($A$1,[3]측정!$A:$BL,64,0)</f>
        <v>0</v>
      </c>
    </row>
    <row r="17" spans="1:17" ht="16.899999999999999" customHeight="1">
      <c r="A17" s="204"/>
      <c r="B17" s="205"/>
      <c r="C17" s="9" t="s">
        <v>42</v>
      </c>
      <c r="D17" s="16">
        <f>IFERROR(VLOOKUP($A$1,[3]사출실험_보압!$A:$N,7,0),"")</f>
        <v>0</v>
      </c>
      <c r="E17" s="16">
        <f>IFERROR(VLOOKUP($A$1,[3]사출실험_보압!$A:$N,6,0),"")</f>
        <v>0</v>
      </c>
      <c r="F17" s="16">
        <f>IFERROR(VLOOKUP($A$1,[3]사출실험_보압!$A:$N,5,0),"")</f>
        <v>10</v>
      </c>
      <c r="G17" s="71">
        <f>IFERROR(VLOOKUP($A$1,[3]사출실험_보압!$A:$N,14,0),"")</f>
        <v>14.5</v>
      </c>
      <c r="H17" s="23" t="s">
        <v>79</v>
      </c>
      <c r="M17" s="6"/>
      <c r="P17" s="28" t="s">
        <v>135</v>
      </c>
      <c r="Q17" s="39">
        <f>MAX(Q9:Q16)</f>
        <v>2.4700000000000002</v>
      </c>
    </row>
    <row r="18" spans="1:17" ht="16.899999999999999" customHeight="1">
      <c r="A18" s="204"/>
      <c r="B18" s="205"/>
      <c r="C18" s="8" t="s">
        <v>43</v>
      </c>
      <c r="D18" s="16">
        <f>IFERROR(VLOOKUP($A$1,[3]사출실험_보압!$A:$N,10,0),"")</f>
        <v>0</v>
      </c>
      <c r="E18" s="16">
        <f>IFERROR(VLOOKUP($A$1,[3]사출실험_보압!$A:$N,9,0),"")</f>
        <v>0</v>
      </c>
      <c r="F18" s="16">
        <f>IFERROR(VLOOKUP($A$1,[3]사출실험_보압!$A:$N,8,0),"")</f>
        <v>160</v>
      </c>
      <c r="M18" s="6"/>
      <c r="P18" s="28" t="s">
        <v>136</v>
      </c>
      <c r="Q18" s="40">
        <f>AVERAGEIF(Q9:Q16, "&lt;&gt;0")</f>
        <v>2.4649999999999999</v>
      </c>
    </row>
    <row r="19" spans="1:17" ht="16.899999999999999" customHeight="1">
      <c r="A19" s="204"/>
      <c r="B19" s="206"/>
      <c r="C19" s="10" t="s">
        <v>46</v>
      </c>
      <c r="D19" s="36">
        <f>IFERROR(VLOOKUP($A$1,[3]사출실험_보압!$A:$N,13,0),"")</f>
        <v>0</v>
      </c>
      <c r="E19" s="36">
        <f>IFERROR(VLOOKUP($A$1,[3]사출실험_보압!$A:$N,12,0),"")</f>
        <v>0</v>
      </c>
      <c r="F19" s="36">
        <f>IFERROR(VLOOKUP($A$1,[3]사출실험_보압!$A:$N,11,0),"")</f>
        <v>8</v>
      </c>
      <c r="H19" s="2"/>
      <c r="M19" s="6"/>
    </row>
    <row r="20" spans="1:17" ht="16.899999999999999" customHeight="1">
      <c r="A20" s="204"/>
      <c r="B20" s="178" t="s">
        <v>27</v>
      </c>
      <c r="C20" s="8" t="s">
        <v>47</v>
      </c>
      <c r="D20" s="8" t="s">
        <v>80</v>
      </c>
      <c r="E20" s="16">
        <f>IFERROR(VLOOKUP($A$1,[3]사출실험_계량!$A:$R,6,0),"")</f>
        <v>100</v>
      </c>
      <c r="F20" s="16">
        <f>IFERROR(VLOOKUP($A$1,[3]사출실험_계량!$A:$R,7,0),"")</f>
        <v>100</v>
      </c>
      <c r="G20" s="16">
        <f>IFERROR(VLOOKUP($A$1,[3]사출실험_계량!$A:$R,8,0),"")</f>
        <v>100</v>
      </c>
      <c r="H20" s="16">
        <f>IFERROR(VLOOKUP($A$1,[3]사출실험_계량!$A:$R,9,0),"")</f>
        <v>100</v>
      </c>
      <c r="I20" s="8" t="s">
        <v>81</v>
      </c>
      <c r="M20" s="6"/>
    </row>
    <row r="21" spans="1:17" ht="16.899999999999999" customHeight="1">
      <c r="A21" s="204"/>
      <c r="B21" s="178"/>
      <c r="C21" s="9" t="s">
        <v>44</v>
      </c>
      <c r="D21" s="172">
        <f>IFERROR(VLOOKUP($A$1,[3]사출실험_계량!$A:$R,5,0),"")</f>
        <v>0</v>
      </c>
      <c r="E21" s="16">
        <f>IFERROR(VLOOKUP($A$1,[3]사출실험_계량!$A:$R,11,0),"")</f>
        <v>10</v>
      </c>
      <c r="F21" s="16">
        <f>IFERROR(VLOOKUP($A$1,[3]사출실험_계량!$A:$R,12,0),"")</f>
        <v>20</v>
      </c>
      <c r="G21" s="16">
        <f>IFERROR(VLOOKUP($A$1,[3]사출실험_계량!$A:$R,13,0),"")</f>
        <v>30</v>
      </c>
      <c r="H21" s="16">
        <f>IFERROR(VLOOKUP($A$1,[3]사출실험_계량!$A:$R,14,0),"")</f>
        <v>40</v>
      </c>
      <c r="I21" s="172">
        <f>IFERROR(VLOOKUP($A$1,[3]사출실험_계량!$A:$R,10,0),"")</f>
        <v>6</v>
      </c>
      <c r="M21" s="6"/>
    </row>
    <row r="22" spans="1:17" ht="16.899999999999999" customHeight="1">
      <c r="A22" s="204"/>
      <c r="B22" s="178"/>
      <c r="C22" s="8" t="s">
        <v>48</v>
      </c>
      <c r="D22" s="172" t="str">
        <f>IFERROR(VLOOKUP($A$1,#REF!,6,0),"")</f>
        <v/>
      </c>
      <c r="E22" s="16">
        <f>IFERROR(VLOOKUP($A$1,[3]사출실험_계량!$A:$R,15,0),"")</f>
        <v>10</v>
      </c>
      <c r="F22" s="16">
        <f>IFERROR(VLOOKUP($A$1,[3]사출실험_계량!$A:$R,16,0),"")</f>
        <v>10</v>
      </c>
      <c r="G22" s="16">
        <f>IFERROR(VLOOKUP($A$1,[3]사출실험_계량!$A:$R,17,0),"")</f>
        <v>5</v>
      </c>
      <c r="H22" s="16">
        <f>IFERROR(VLOOKUP($A$1,[3]사출실험_계량!$A:$R,18,0),"")</f>
        <v>0</v>
      </c>
      <c r="I22" s="172" t="str">
        <f>IFERROR(VLOOKUP($A$1,#REF!,6,0),"")</f>
        <v/>
      </c>
      <c r="J22" s="2"/>
      <c r="M22" s="6"/>
    </row>
    <row r="23" spans="1:17" ht="17.649999999999999" customHeight="1" thickBot="1">
      <c r="A23" s="204"/>
      <c r="B23" s="173" t="s">
        <v>28</v>
      </c>
      <c r="C23" t="s">
        <v>49</v>
      </c>
      <c r="M23" s="6"/>
    </row>
    <row r="24" spans="1:17" ht="18" customHeight="1" thickTop="1" thickBot="1">
      <c r="A24" s="204"/>
      <c r="B24" s="174"/>
      <c r="C24" s="13"/>
      <c r="D24" s="8" t="s">
        <v>50</v>
      </c>
      <c r="E24" s="8" t="s">
        <v>51</v>
      </c>
      <c r="F24" s="8" t="s">
        <v>52</v>
      </c>
      <c r="G24" s="8" t="s">
        <v>53</v>
      </c>
      <c r="H24" s="8" t="s">
        <v>54</v>
      </c>
      <c r="M24" s="6"/>
    </row>
    <row r="25" spans="1:17" ht="18" customHeight="1" thickTop="1" thickBot="1">
      <c r="A25" s="204"/>
      <c r="B25" s="174"/>
      <c r="C25" s="14" t="s">
        <v>55</v>
      </c>
      <c r="D25" s="16">
        <f>IFERROR(VLOOKUP($A$1,[3]사출실험_온도!$A:$U,5,0),"")</f>
        <v>230</v>
      </c>
      <c r="E25" s="16">
        <f>IFERROR(VLOOKUP($A$1,[3]사출실험_온도!$A:$U,6,0),"")</f>
        <v>225</v>
      </c>
      <c r="F25" s="16">
        <f>IFERROR(VLOOKUP($A$1,[3]사출실험_온도!$A:$U,7,0),"")</f>
        <v>225</v>
      </c>
      <c r="G25" s="16">
        <f>IFERROR(VLOOKUP($A$1,[3]사출실험_온도!$A:$U,8,0),"")</f>
        <v>220</v>
      </c>
      <c r="H25" s="16">
        <f>IFERROR(VLOOKUP($A$1,[3]사출실험_온도!$A:$U,9,0),"")</f>
        <v>210</v>
      </c>
      <c r="M25" s="6"/>
    </row>
    <row r="26" spans="1:17" ht="18" customHeight="1" thickTop="1" thickBot="1">
      <c r="A26" s="204"/>
      <c r="B26" s="174"/>
      <c r="C26" s="2" t="s">
        <v>57</v>
      </c>
      <c r="M26" s="6"/>
    </row>
    <row r="27" spans="1:17" ht="18" customHeight="1" thickTop="1" thickBot="1">
      <c r="A27" s="204"/>
      <c r="B27" s="174"/>
      <c r="C27" s="13"/>
      <c r="D27" s="8" t="s">
        <v>208</v>
      </c>
      <c r="E27" s="8" t="s">
        <v>209</v>
      </c>
      <c r="F27" s="176" t="s">
        <v>83</v>
      </c>
      <c r="G27" s="176"/>
      <c r="H27" s="176"/>
      <c r="I27" s="176"/>
      <c r="J27" s="176"/>
      <c r="K27" s="176"/>
      <c r="M27" s="6"/>
    </row>
    <row r="28" spans="1:17" ht="18" customHeight="1" thickTop="1" thickBot="1">
      <c r="A28" s="204"/>
      <c r="B28" s="174"/>
      <c r="C28" s="14" t="s">
        <v>55</v>
      </c>
      <c r="D28" s="16">
        <f>IFERROR(VLOOKUP($A$1,[3]사출실험_온도!$A:$U,10,0),"")</f>
        <v>60</v>
      </c>
      <c r="E28" s="16">
        <f>IFERROR(VLOOKUP($A$1,[3]사출실험_온도!$A:$U,11,0),"")</f>
        <v>60</v>
      </c>
      <c r="F28" s="172">
        <f>IFERROR(VLOOKUP($A$1,[3]사출실험_온도!$A:$U,12,0),"")</f>
        <v>0</v>
      </c>
      <c r="G28" s="172" t="str">
        <f>IFERROR(VLOOKUP($A$1,#REF!,10,0),"")</f>
        <v/>
      </c>
      <c r="H28" s="172" t="str">
        <f>IFERROR(VLOOKUP($A$1,#REF!,10,0),"")</f>
        <v/>
      </c>
      <c r="I28" s="172" t="str">
        <f>IFERROR(VLOOKUP($A$1,#REF!,10,0),"")</f>
        <v/>
      </c>
      <c r="J28" s="172" t="str">
        <f>IFERROR(VLOOKUP($A$1,#REF!,10,0),"")</f>
        <v/>
      </c>
      <c r="K28" s="172" t="str">
        <f>IFERROR(VLOOKUP($A$1,#REF!,10,0),"")</f>
        <v/>
      </c>
      <c r="M28" s="6"/>
    </row>
    <row r="29" spans="1:17" ht="18" customHeight="1" thickTop="1" thickBot="1">
      <c r="A29" s="204"/>
      <c r="B29" s="174"/>
      <c r="C29" s="2"/>
      <c r="D29" s="2"/>
      <c r="E29" s="2"/>
      <c r="F29" s="2"/>
      <c r="G29" s="2"/>
      <c r="H29" s="2"/>
      <c r="M29" s="6"/>
    </row>
    <row r="30" spans="1:17" ht="18" customHeight="1" thickTop="1" thickBot="1">
      <c r="A30" s="204"/>
      <c r="B30" s="174"/>
      <c r="C30" t="s">
        <v>56</v>
      </c>
      <c r="M30" s="6"/>
    </row>
    <row r="31" spans="1:17" ht="18" customHeight="1" thickTop="1" thickBot="1">
      <c r="A31" s="204"/>
      <c r="B31" s="174"/>
      <c r="C31" s="8" t="s">
        <v>82</v>
      </c>
      <c r="D31" s="177" t="str">
        <f>IFERROR(VLOOKUP($A$1,#REF!,13,0),"")</f>
        <v/>
      </c>
      <c r="E31" s="177" t="str">
        <f>IFERROR(VLOOKUP($A$1,#REF!,10,0),"")</f>
        <v/>
      </c>
      <c r="F31" s="177" t="str">
        <f>IFERROR(VLOOKUP($A$1,#REF!,14,0),"")</f>
        <v/>
      </c>
      <c r="G31" s="177" t="str">
        <f>IFERROR(VLOOKUP($A$1,#REF!,10,0),"")</f>
        <v/>
      </c>
      <c r="H31" s="177" t="str">
        <f>IFERROR(VLOOKUP($A$1,#REF!,15,0),"")</f>
        <v/>
      </c>
      <c r="I31" s="177" t="str">
        <f>IFERROR(VLOOKUP($A$1,#REF!,10,0),"")</f>
        <v/>
      </c>
      <c r="J31" s="177" t="str">
        <f>IFERROR(VLOOKUP($A$1,#REF!,16,0),"")</f>
        <v/>
      </c>
      <c r="K31" s="177" t="str">
        <f>IFERROR(VLOOKUP($A$1,#REF!,10,0),"")</f>
        <v/>
      </c>
      <c r="L31" s="179" t="s">
        <v>83</v>
      </c>
      <c r="M31" s="180"/>
    </row>
    <row r="32" spans="1:17" ht="17.649999999999999" customHeight="1" thickTop="1">
      <c r="A32" s="204"/>
      <c r="B32" s="175"/>
      <c r="C32" s="8" t="s">
        <v>28</v>
      </c>
      <c r="D32" s="181">
        <f>IFERROR(VLOOKUP($A$1,[3]사출실험_온도!$A:$U,17,0),"")</f>
        <v>0</v>
      </c>
      <c r="E32" s="181" t="str">
        <f>IFERROR(VLOOKUP($A$1,#REF!,10,0),"")</f>
        <v/>
      </c>
      <c r="F32" s="181">
        <f>IFERROR(VLOOKUP($A$1,[3]사출실험_온도!$A:$U,18,0),"")</f>
        <v>0</v>
      </c>
      <c r="G32" s="181" t="str">
        <f>IFERROR(VLOOKUP($A$1,#REF!,10,0),"")</f>
        <v/>
      </c>
      <c r="H32" s="181">
        <f>IFERROR(VLOOKUP($A$1,[3]사출실험_온도!$A:$U,19,0),"")</f>
        <v>0</v>
      </c>
      <c r="I32" s="181" t="str">
        <f>IFERROR(VLOOKUP($A$1,#REF!,10,0),"")</f>
        <v/>
      </c>
      <c r="J32" s="181">
        <f>IFERROR(VLOOKUP($A$1,[3]사출실험_온도!$A:$U,20,0),"")</f>
        <v>0</v>
      </c>
      <c r="K32" s="181" t="str">
        <f>IFERROR(VLOOKUP($A$1,#REF!,10,0),"")</f>
        <v/>
      </c>
      <c r="L32" s="182">
        <f>IFERROR(VLOOKUP($A$1,[3]사출실험_온도!$A:$U,21,0),"")</f>
        <v>0</v>
      </c>
      <c r="M32" s="183" t="str">
        <f>IFERROR(VLOOKUP($A$1,#REF!,10,0),"")</f>
        <v/>
      </c>
    </row>
    <row r="33" spans="1:13" ht="16.899999999999999" customHeight="1">
      <c r="A33" s="204"/>
      <c r="B33" s="4"/>
      <c r="C33" s="2"/>
      <c r="D33" s="2"/>
      <c r="E33" s="2"/>
      <c r="F33" s="2"/>
      <c r="G33" s="2"/>
      <c r="H33" s="85"/>
      <c r="I33" s="85"/>
      <c r="J33" s="85"/>
      <c r="K33" s="85"/>
      <c r="L33" s="85"/>
      <c r="M33" s="24"/>
    </row>
    <row r="34" spans="1:13" ht="16.899999999999999" customHeight="1">
      <c r="A34" s="204"/>
      <c r="B34" s="184" t="s">
        <v>58</v>
      </c>
      <c r="C34" s="8"/>
      <c r="D34" s="9" t="s">
        <v>59</v>
      </c>
      <c r="E34" s="8" t="s">
        <v>60</v>
      </c>
      <c r="F34" s="8" t="s">
        <v>61</v>
      </c>
      <c r="G34" s="8" t="s">
        <v>62</v>
      </c>
      <c r="I34" s="176" t="s">
        <v>84</v>
      </c>
      <c r="J34" s="176"/>
      <c r="K34" s="2"/>
      <c r="M34" s="6"/>
    </row>
    <row r="35" spans="1:13" ht="16.899999999999999" customHeight="1">
      <c r="A35" s="204"/>
      <c r="B35" s="178"/>
      <c r="C35" s="8" t="s">
        <v>63</v>
      </c>
      <c r="D35" s="72">
        <f>IFERROR(VLOOKUP($A$1,'[3]사출실험_CYCLE TIME'!$A:$O,5,0),"")</f>
        <v>9.1999999999999993</v>
      </c>
      <c r="E35" s="43">
        <f>IFERROR(VLOOKUP($A$1,'[3]사출실험_CYCLE TIME'!$A:$O,6,0),"")</f>
        <v>25</v>
      </c>
      <c r="F35" s="43">
        <f>IFERROR(VLOOKUP($A$1,'[3]사출실험_CYCLE TIME'!$A:$O,7,0),"")</f>
        <v>0</v>
      </c>
      <c r="G35" s="43">
        <f>IFERROR(VLOOKUP($A$1,'[3]사출실험_CYCLE TIME'!$A:$O,8,0),"")</f>
        <v>59</v>
      </c>
      <c r="I35" s="185">
        <f>IFERROR(VLOOKUP($A$1,'[3]사출실험_CYCLE TIME'!$A:$O,13,0),"")</f>
        <v>0</v>
      </c>
      <c r="J35" s="185"/>
      <c r="K35" s="2"/>
      <c r="M35" s="6"/>
    </row>
    <row r="36" spans="1:13" ht="16.899999999999999" customHeight="1">
      <c r="A36" s="204"/>
      <c r="B36" s="178"/>
      <c r="C36" s="8" t="s">
        <v>64</v>
      </c>
      <c r="D36" s="44">
        <f>IFERROR(VLOOKUP($A$1,'[3]사출실험_CYCLE TIME'!$A:$O,9,0),"")</f>
        <v>0</v>
      </c>
      <c r="E36" s="44">
        <f>IFERROR(VLOOKUP($A$1,'[3]사출실험_CYCLE TIME'!$A:$O,10,0),"")</f>
        <v>0</v>
      </c>
      <c r="F36" s="44">
        <f>IFERROR(VLOOKUP($A$1,'[3]사출실험_CYCLE TIME'!$A:$O,11,0),"")</f>
        <v>0</v>
      </c>
      <c r="G36" s="44">
        <f>IFERROR(VLOOKUP($A$1,'[3]사출실험_CYCLE TIME'!$A:$O,12,0),"")</f>
        <v>0</v>
      </c>
      <c r="I36" s="2"/>
      <c r="K36" s="2"/>
      <c r="M36" s="6"/>
    </row>
    <row r="37" spans="1:13">
      <c r="A37" s="7"/>
      <c r="M37" s="6"/>
    </row>
    <row r="38" spans="1:13">
      <c r="A38" s="41" t="s">
        <v>145</v>
      </c>
      <c r="M38" s="6"/>
    </row>
    <row r="39" spans="1:13" ht="16.899999999999999" customHeight="1">
      <c r="A39" s="186">
        <f>IFERROR(VLOOKUP($A$1,'[3]사출실험_CYCLE TIME'!$A:$O,14,0),"")</f>
        <v>0</v>
      </c>
      <c r="B39" s="187"/>
      <c r="C39" s="187"/>
      <c r="D39" s="188"/>
      <c r="E39" s="195" t="s">
        <v>66</v>
      </c>
      <c r="F39" s="196" t="s">
        <v>67</v>
      </c>
      <c r="G39" s="197"/>
      <c r="H39" s="197"/>
      <c r="I39" s="197"/>
      <c r="J39" s="197"/>
      <c r="K39" s="197"/>
      <c r="L39" s="197"/>
      <c r="M39" s="198"/>
    </row>
    <row r="40" spans="1:13">
      <c r="A40" s="189"/>
      <c r="B40" s="190"/>
      <c r="C40" s="190"/>
      <c r="D40" s="191"/>
      <c r="E40" s="195"/>
      <c r="F40" s="199" t="str">
        <f>IF(ISNUMBER(FIND("_", $D$1)), IFERROR(VLOOKUP($D$1, [6]BOM_도면!$F:$Q, 4, 0), ""), IFERROR(VLOOKUP($D$1, [6]BOM_도면!$C:$Q, 7, 0), ""))</f>
        <v>외경</v>
      </c>
      <c r="G40" s="199" t="str">
        <f>IFERROR(VLOOKUP($A$1,#REF!,13,0),"")</f>
        <v/>
      </c>
      <c r="H40" s="200" t="str">
        <f>IF(ISNUMBER(FIND("_", $D$1)), IFERROR(VLOOKUP($D$1, [6]BOM_도면!$F:$Q, 7, 0), ""), IFERROR(VLOOKUP($D$1, [6]BOM_도면!$C:$Q, 10, 0), ""))</f>
        <v>외고</v>
      </c>
      <c r="I40" s="200" t="str">
        <f>IFERROR(VLOOKUP($A$1,#REF!,13,0),"")</f>
        <v/>
      </c>
      <c r="J40" s="201">
        <f>IF(ISNUMBER(FIND("_", $D$1)), IFERROR(VLOOKUP($D$1, [6]BOM_도면!$F:$Q, 10, 0), ""), IFERROR(VLOOKUP($D$1, [6]BOM_도면!$C:$Q, 13, 0), ""))</f>
        <v>0</v>
      </c>
      <c r="K40" s="201" t="str">
        <f>IFERROR(VLOOKUP($A$1,#REF!,13,0),"")</f>
        <v/>
      </c>
      <c r="L40" s="202" t="s">
        <v>33</v>
      </c>
      <c r="M40" s="203" t="str">
        <f>IFERROR(VLOOKUP($A$1,#REF!,13,0),"")</f>
        <v/>
      </c>
    </row>
    <row r="41" spans="1:13" ht="17.25" thickBot="1">
      <c r="A41" s="189"/>
      <c r="B41" s="190"/>
      <c r="C41" s="190"/>
      <c r="D41" s="191"/>
      <c r="E41" s="83" t="s">
        <v>68</v>
      </c>
      <c r="F41" s="209" t="str">
        <f>IF(ISNUMBER(FIND("_", $D$1)), IFERROR(VLOOKUP($D$1, [6]BOM_도면!$F:$Q, 5, 0), ""), IFERROR(VLOOKUP($D$1, [6]BOM_도면!$C:$Q, 8, 0), ""))</f>
        <v>⌀62.7±0.1</v>
      </c>
      <c r="G41" s="209"/>
      <c r="H41" s="210" t="str">
        <f>IF(ISNUMBER(FIND("_", $D$1)), IFERROR(VLOOKUP($D$1, [6]BOM_도면!$F:$Q, 8, 0), ""), IFERROR(VLOOKUP($D$1, [6]BOM_도면!$C:$Q, 11, 0), ""))</f>
        <v>⌀15.4±0.1</v>
      </c>
      <c r="I41" s="210"/>
      <c r="J41" s="209">
        <f>IF(ISNUMBER(FIND("_", $D$1)), IFERROR(VLOOKUP($D$1, [6]BOM_도면!$F:$Q, 11, 0), ""), IFERROR(VLOOKUP($D$1, [6]BOM_도면!$C:$Q, 14, 0), ""))</f>
        <v>0</v>
      </c>
      <c r="K41" s="209"/>
      <c r="L41" s="211">
        <f>IFERROR(VLOOKUP($A$1,[3]측정!$A:$BL,56,0),"")</f>
        <v>14.74</v>
      </c>
      <c r="M41" s="212"/>
    </row>
    <row r="42" spans="1:13" ht="17.25" thickTop="1">
      <c r="A42" s="189"/>
      <c r="B42" s="190"/>
      <c r="C42" s="190"/>
      <c r="D42" s="191"/>
      <c r="E42" s="78" t="s">
        <v>137</v>
      </c>
      <c r="F42" s="79" t="s">
        <v>139</v>
      </c>
      <c r="G42" s="79" t="s">
        <v>141</v>
      </c>
      <c r="H42" s="79" t="s">
        <v>138</v>
      </c>
      <c r="I42" s="79" t="s">
        <v>140</v>
      </c>
      <c r="J42" s="79" t="s">
        <v>138</v>
      </c>
      <c r="K42" s="80" t="s">
        <v>140</v>
      </c>
      <c r="L42" s="81" t="s">
        <v>236</v>
      </c>
      <c r="M42" s="82" t="s">
        <v>235</v>
      </c>
    </row>
    <row r="43" spans="1:13">
      <c r="A43" s="189"/>
      <c r="B43" s="190"/>
      <c r="C43" s="190"/>
      <c r="D43" s="191"/>
      <c r="E43" s="8">
        <v>1</v>
      </c>
      <c r="F43" s="34">
        <f>IFERROR(VLOOKUP($A$1,[3]측정!$A:$BL,6,0),"")</f>
        <v>62.75</v>
      </c>
      <c r="G43" s="34">
        <f>IFERROR(VLOOKUP($A$1,[4]측정_24H데이타!$A:$AE,6,0),"")</f>
        <v>62.79</v>
      </c>
      <c r="H43" s="34">
        <f>IFERROR(VLOOKUP($A$1,[3]측정!$A:$BL,23,0),"")</f>
        <v>0</v>
      </c>
      <c r="I43" s="34">
        <f>IFERROR(VLOOKUP($A$1,[4]측정_24H데이타!$A:$AE,15,0),"")</f>
        <v>0</v>
      </c>
      <c r="J43" s="34">
        <f>IFERROR(VLOOKUP($A$1,[3]측정!$A:$BL,40,0),"")</f>
        <v>0</v>
      </c>
      <c r="K43" s="34" t="s">
        <v>959</v>
      </c>
      <c r="L43" s="77">
        <v>1</v>
      </c>
      <c r="M43" s="35">
        <f>IFERROR(VLOOKUP($A$1,[3]측정!$A:$BL,57,0),"")</f>
        <v>2.4700000000000002</v>
      </c>
    </row>
    <row r="44" spans="1:13">
      <c r="A44" s="189"/>
      <c r="B44" s="190"/>
      <c r="C44" s="190"/>
      <c r="D44" s="191"/>
      <c r="E44" s="8">
        <v>2</v>
      </c>
      <c r="F44" s="34">
        <f>IFERROR(VLOOKUP($A$1,[3]측정!$A:$BL,7,0),"")</f>
        <v>62.74</v>
      </c>
      <c r="G44" s="34">
        <f>IFERROR(VLOOKUP($A$1,[4]측정_24H데이타!$A:$AE,7,0),"")</f>
        <v>62.81</v>
      </c>
      <c r="H44" s="34">
        <f>IFERROR(VLOOKUP($A$1,[3]측정!$A:$BL,24,0),"")</f>
        <v>0</v>
      </c>
      <c r="I44" s="34">
        <f>IFERROR(VLOOKUP($A$1,[4]측정_24H데이타!$A:$AE,16,0),"")</f>
        <v>0</v>
      </c>
      <c r="J44" s="34">
        <f>IFERROR(VLOOKUP($A$1,[3]측정!$A:$BL,41,0),"")</f>
        <v>0</v>
      </c>
      <c r="K44" s="34" t="s">
        <v>959</v>
      </c>
      <c r="L44" s="77">
        <v>2</v>
      </c>
      <c r="M44" s="35">
        <f>IFERROR(VLOOKUP($A$1,[3]측정!$A:$BL,58,0),"")</f>
        <v>2.4700000000000002</v>
      </c>
    </row>
    <row r="45" spans="1:13">
      <c r="A45" s="189"/>
      <c r="B45" s="190"/>
      <c r="C45" s="190"/>
      <c r="D45" s="191"/>
      <c r="E45" s="8">
        <v>3</v>
      </c>
      <c r="F45" s="34">
        <f>IFERROR(VLOOKUP($A$1,[3]측정!$A:$BL,8,0),"")</f>
        <v>62.75</v>
      </c>
      <c r="G45" s="34">
        <f>IFERROR(VLOOKUP($A$1,[4]측정_24H데이타!$A:$AE,8,0),"")</f>
        <v>62.77</v>
      </c>
      <c r="H45" s="34">
        <f>IFERROR(VLOOKUP($A$1,[3]측정!$A:$BL,25,0),"")</f>
        <v>0</v>
      </c>
      <c r="I45" s="34">
        <f>IFERROR(VLOOKUP($A$1,[4]측정_24H데이타!$A:$AE,17,0),"")</f>
        <v>0</v>
      </c>
      <c r="J45" s="34">
        <f>IFERROR(VLOOKUP($A$1,[3]측정!$A:$BL,42,0),"")</f>
        <v>0</v>
      </c>
      <c r="K45" s="34" t="s">
        <v>959</v>
      </c>
      <c r="L45" s="77">
        <v>3</v>
      </c>
      <c r="M45" s="35">
        <f>IFERROR(VLOOKUP($A$1,[3]측정!$A:$BL,59,0),"")</f>
        <v>2.4700000000000002</v>
      </c>
    </row>
    <row r="46" spans="1:13">
      <c r="A46" s="189"/>
      <c r="B46" s="190"/>
      <c r="C46" s="190"/>
      <c r="D46" s="191"/>
      <c r="E46" s="8">
        <v>4</v>
      </c>
      <c r="F46" s="34">
        <f>IFERROR(VLOOKUP($A$1,[3]측정!$A:$BL,9,0),"")</f>
        <v>62.76</v>
      </c>
      <c r="G46" s="34">
        <f>IFERROR(VLOOKUP($A$1,[4]측정_24H데이타!$A:$AE,9,0),"")</f>
        <v>62.82</v>
      </c>
      <c r="H46" s="34">
        <f>IFERROR(VLOOKUP($A$1,[3]측정!$A:$BL,26,0),"")</f>
        <v>0</v>
      </c>
      <c r="I46" s="34">
        <f>IFERROR(VLOOKUP($A$1,[4]측정_24H데이타!$A:$AE,18,0),"")</f>
        <v>0</v>
      </c>
      <c r="J46" s="34">
        <f>IFERROR(VLOOKUP($A$1,[3]측정!$A:$BL,43,0),"")</f>
        <v>0</v>
      </c>
      <c r="K46" s="34" t="s">
        <v>959</v>
      </c>
      <c r="L46" s="77">
        <v>4</v>
      </c>
      <c r="M46" s="35">
        <f>IFERROR(VLOOKUP($A$1,[3]측정!$A:$BL,60,0),"")</f>
        <v>2.4500000000000002</v>
      </c>
    </row>
    <row r="47" spans="1:13">
      <c r="A47" s="189"/>
      <c r="B47" s="190"/>
      <c r="C47" s="190"/>
      <c r="D47" s="191"/>
      <c r="E47" s="8">
        <v>5</v>
      </c>
      <c r="F47" s="34">
        <f>IFERROR(VLOOKUP($A$1,[3]측정!$A:$BL,10,0),"")</f>
        <v>0</v>
      </c>
      <c r="G47" s="34">
        <f>IFERROR(VLOOKUP($A$1,[4]측정_24H데이타!$A:$AE,10,0),"")</f>
        <v>0</v>
      </c>
      <c r="H47" s="34">
        <f>IFERROR(VLOOKUP($A$1,[3]측정!$A:$BL,27,0),"")</f>
        <v>0</v>
      </c>
      <c r="I47" s="34">
        <f>IFERROR(VLOOKUP($A$1,[4]측정_24H데이타!$A:$AE,19,0),"")</f>
        <v>0</v>
      </c>
      <c r="J47" s="34">
        <f>IFERROR(VLOOKUP($A$1,[3]측정!$A:$BL,44,0),"")</f>
        <v>0</v>
      </c>
      <c r="K47" s="34" t="s">
        <v>959</v>
      </c>
      <c r="L47" s="77">
        <v>5</v>
      </c>
      <c r="M47" s="35">
        <f>IFERROR(VLOOKUP($A$1,[3]측정!$A:$BL,61,0),"")</f>
        <v>0</v>
      </c>
    </row>
    <row r="48" spans="1:13">
      <c r="A48" s="189"/>
      <c r="B48" s="190"/>
      <c r="C48" s="190"/>
      <c r="D48" s="191"/>
      <c r="E48" s="8">
        <v>6</v>
      </c>
      <c r="F48" s="34">
        <f>IFERROR(VLOOKUP($A$1,[3]측정!$A:$BL,11,0),"")</f>
        <v>0</v>
      </c>
      <c r="G48" s="34">
        <f>IFERROR(VLOOKUP($A$1,[4]측정_24H데이타!$A:$AE,11,0),"")</f>
        <v>0</v>
      </c>
      <c r="H48" s="34">
        <f>IFERROR(VLOOKUP($A$1,[3]측정!$A:$BL,28,0),"")</f>
        <v>0</v>
      </c>
      <c r="I48" s="34">
        <f>IFERROR(VLOOKUP($A$1,[4]측정_24H데이타!$A:$AE,20,0),"")</f>
        <v>0</v>
      </c>
      <c r="J48" s="34">
        <f>IFERROR(VLOOKUP($A$1,[3]측정!$A:$BL,45,0),"")</f>
        <v>0</v>
      </c>
      <c r="K48" s="34" t="s">
        <v>959</v>
      </c>
      <c r="L48" s="77">
        <v>6</v>
      </c>
      <c r="M48" s="35">
        <f>IFERROR(VLOOKUP($A$1,[3]측정!$A:$BL,62,0),"")</f>
        <v>0</v>
      </c>
    </row>
    <row r="49" spans="1:13">
      <c r="A49" s="189"/>
      <c r="B49" s="190"/>
      <c r="C49" s="190"/>
      <c r="D49" s="191"/>
      <c r="E49" s="8">
        <v>7</v>
      </c>
      <c r="F49" s="34">
        <f>IFERROR(VLOOKUP($A$1,[3]측정!$A:$BL,12,0),"")</f>
        <v>0</v>
      </c>
      <c r="G49" s="34">
        <f>IFERROR(VLOOKUP($A$1,[4]측정_24H데이타!$A:$AE,12,0),"")</f>
        <v>0</v>
      </c>
      <c r="H49" s="34">
        <f>IFERROR(VLOOKUP($A$1,[3]측정!$A:$BL,29,0),"")</f>
        <v>0</v>
      </c>
      <c r="I49" s="34">
        <f>IFERROR(VLOOKUP($A$1,[4]측정_24H데이타!$A:$AE,21,0),"")</f>
        <v>0</v>
      </c>
      <c r="J49" s="34">
        <f>IFERROR(VLOOKUP($A$1,[3]측정!$A:$BL,46,0),"")</f>
        <v>0</v>
      </c>
      <c r="K49" s="34" t="s">
        <v>959</v>
      </c>
      <c r="L49" s="77">
        <v>7</v>
      </c>
      <c r="M49" s="35">
        <f>IFERROR(VLOOKUP($A$1,[3]측정!$A:$BL,63,0),"")</f>
        <v>0</v>
      </c>
    </row>
    <row r="50" spans="1:13">
      <c r="A50" s="192"/>
      <c r="B50" s="193"/>
      <c r="C50" s="193"/>
      <c r="D50" s="194"/>
      <c r="E50" s="8">
        <v>8</v>
      </c>
      <c r="F50" s="34">
        <f>IFERROR(VLOOKUP($A$1,[3]측정!$A:$BL,13,0),"")</f>
        <v>0</v>
      </c>
      <c r="G50" s="34">
        <f>IFERROR(VLOOKUP($A$1,[4]측정_24H데이타!$A:$AE,13,0),"")</f>
        <v>0</v>
      </c>
      <c r="H50" s="34">
        <f>IFERROR(VLOOKUP($A$1,[3]측정!$A:$BL,30,0),"")</f>
        <v>0</v>
      </c>
      <c r="I50" s="34">
        <f>IFERROR(VLOOKUP($A$1,[4]측정_24H데이타!$A:$AE,22,0),"")</f>
        <v>0</v>
      </c>
      <c r="J50" s="34">
        <f>IFERROR(VLOOKUP($A$1,[3]측정!$A:$BL,47,0),"")</f>
        <v>0</v>
      </c>
      <c r="K50" s="34" t="s">
        <v>959</v>
      </c>
      <c r="L50" s="77">
        <v>8</v>
      </c>
      <c r="M50" s="35">
        <f>IFERROR(VLOOKUP($A$1,[3]측정!$A:$BL,64,0),"")</f>
        <v>0</v>
      </c>
    </row>
    <row r="51" spans="1:13">
      <c r="A51" s="42" t="s">
        <v>146</v>
      </c>
      <c r="B51" s="2"/>
      <c r="C51" s="2"/>
      <c r="D51" s="15"/>
      <c r="E51" s="41" t="s">
        <v>65</v>
      </c>
      <c r="M51" s="6"/>
    </row>
    <row r="52" spans="1:13">
      <c r="A52" s="213">
        <f>IFERROR(VLOOKUP($A$1,'[3]사출실험_CYCLE TIME'!$A:$O,15,0),"")</f>
        <v>0</v>
      </c>
      <c r="B52" s="214"/>
      <c r="C52" s="214"/>
      <c r="D52" s="214"/>
      <c r="E52" s="217" t="str">
        <f>IF(ISNUMBER(FIND("_", $D$1)), IFERROR(VLOOKUP($D$1, [6]BOM_도면!$F:$Q, 3, 0), ""), IFERROR(VLOOKUP($D$1, [6]BOM_도면!$C:$Q, 6, 0), ""))</f>
        <v/>
      </c>
      <c r="F52" s="217"/>
      <c r="G52" s="217"/>
      <c r="H52" s="217" t="str">
        <f>IF(ISNUMBER(FIND("_", $D$1)), IFERROR(VLOOKUP($D$1, [6]BOM_도면!$F:$Q, 6, 0), ""), IFERROR(VLOOKUP($D$1, [6]BOM_도면!$C:$Q, 9, 0), ""))</f>
        <v/>
      </c>
      <c r="I52" s="217"/>
      <c r="J52" s="217"/>
      <c r="K52" s="217">
        <f>IF(ISNUMBER(FIND("_", $D$1)), IFERROR(VLOOKUP($D$1, [6]BOM_도면!$F:$Q, 9, 0), ""), IFERROR(VLOOKUP($D$1, [6]BOM_도면!$C:$Q, 12, 0), ""))</f>
        <v>0</v>
      </c>
      <c r="L52" s="217"/>
      <c r="M52" s="219"/>
    </row>
    <row r="53" spans="1:13">
      <c r="A53" s="213"/>
      <c r="B53" s="214"/>
      <c r="C53" s="214"/>
      <c r="D53" s="214"/>
      <c r="E53" s="217"/>
      <c r="F53" s="217"/>
      <c r="G53" s="217"/>
      <c r="H53" s="217"/>
      <c r="I53" s="217"/>
      <c r="J53" s="217"/>
      <c r="K53" s="217"/>
      <c r="L53" s="217"/>
      <c r="M53" s="219"/>
    </row>
    <row r="54" spans="1:13">
      <c r="A54" s="213"/>
      <c r="B54" s="214"/>
      <c r="C54" s="214"/>
      <c r="D54" s="214"/>
      <c r="E54" s="217"/>
      <c r="F54" s="217"/>
      <c r="G54" s="217"/>
      <c r="H54" s="217"/>
      <c r="I54" s="217"/>
      <c r="J54" s="217"/>
      <c r="K54" s="217"/>
      <c r="L54" s="217"/>
      <c r="M54" s="219"/>
    </row>
    <row r="55" spans="1:13">
      <c r="A55" s="213"/>
      <c r="B55" s="214"/>
      <c r="C55" s="214"/>
      <c r="D55" s="214"/>
      <c r="E55" s="217"/>
      <c r="F55" s="217"/>
      <c r="G55" s="217"/>
      <c r="H55" s="217"/>
      <c r="I55" s="217"/>
      <c r="J55" s="217"/>
      <c r="K55" s="217"/>
      <c r="L55" s="217"/>
      <c r="M55" s="219"/>
    </row>
    <row r="56" spans="1:13">
      <c r="A56" s="213"/>
      <c r="B56" s="214"/>
      <c r="C56" s="214"/>
      <c r="D56" s="214"/>
      <c r="E56" s="217"/>
      <c r="F56" s="217"/>
      <c r="G56" s="217"/>
      <c r="H56" s="217"/>
      <c r="I56" s="217"/>
      <c r="J56" s="217"/>
      <c r="K56" s="217"/>
      <c r="L56" s="217"/>
      <c r="M56" s="219"/>
    </row>
    <row r="57" spans="1:13">
      <c r="A57" s="213"/>
      <c r="B57" s="214"/>
      <c r="C57" s="214"/>
      <c r="D57" s="214"/>
      <c r="E57" s="217"/>
      <c r="F57" s="217"/>
      <c r="G57" s="217"/>
      <c r="H57" s="217"/>
      <c r="I57" s="217"/>
      <c r="J57" s="217"/>
      <c r="K57" s="217"/>
      <c r="L57" s="217"/>
      <c r="M57" s="219"/>
    </row>
    <row r="58" spans="1:13">
      <c r="A58" s="213"/>
      <c r="B58" s="214"/>
      <c r="C58" s="214"/>
      <c r="D58" s="214"/>
      <c r="E58" s="217"/>
      <c r="F58" s="217"/>
      <c r="G58" s="217"/>
      <c r="H58" s="217"/>
      <c r="I58" s="217"/>
      <c r="J58" s="217"/>
      <c r="K58" s="217"/>
      <c r="L58" s="217"/>
      <c r="M58" s="219"/>
    </row>
    <row r="59" spans="1:13" ht="17.25" thickBot="1">
      <c r="A59" s="215"/>
      <c r="B59" s="216"/>
      <c r="C59" s="216"/>
      <c r="D59" s="216"/>
      <c r="E59" s="218"/>
      <c r="F59" s="218"/>
      <c r="G59" s="218"/>
      <c r="H59" s="218"/>
      <c r="I59" s="218"/>
      <c r="J59" s="218"/>
      <c r="K59" s="218"/>
      <c r="L59" s="218"/>
      <c r="M59" s="220"/>
    </row>
  </sheetData>
  <mergeCells count="59">
    <mergeCell ref="A3:L3"/>
    <mergeCell ref="B4:C4"/>
    <mergeCell ref="K4:M4"/>
    <mergeCell ref="A5:A8"/>
    <mergeCell ref="C5:F5"/>
    <mergeCell ref="G5:H5"/>
    <mergeCell ref="I5:J5"/>
    <mergeCell ref="L5:M5"/>
    <mergeCell ref="C6:F6"/>
    <mergeCell ref="G6:H6"/>
    <mergeCell ref="I6:J6"/>
    <mergeCell ref="L6:M6"/>
    <mergeCell ref="E7:F7"/>
    <mergeCell ref="G7:H7"/>
    <mergeCell ref="I7:J7"/>
    <mergeCell ref="L7:M7"/>
    <mergeCell ref="E8:F8"/>
    <mergeCell ref="G8:H8"/>
    <mergeCell ref="I8:J8"/>
    <mergeCell ref="L8:M8"/>
    <mergeCell ref="K9:M9"/>
    <mergeCell ref="D21:D22"/>
    <mergeCell ref="I21:I22"/>
    <mergeCell ref="B23:B32"/>
    <mergeCell ref="F27:K27"/>
    <mergeCell ref="F28:K28"/>
    <mergeCell ref="D31:E31"/>
    <mergeCell ref="F31:G31"/>
    <mergeCell ref="H31:I31"/>
    <mergeCell ref="J31:K31"/>
    <mergeCell ref="B20:B22"/>
    <mergeCell ref="L31:M31"/>
    <mergeCell ref="D32:E32"/>
    <mergeCell ref="F32:G32"/>
    <mergeCell ref="H32:I32"/>
    <mergeCell ref="J32:K32"/>
    <mergeCell ref="L32:M32"/>
    <mergeCell ref="B34:B36"/>
    <mergeCell ref="I34:J34"/>
    <mergeCell ref="I35:J35"/>
    <mergeCell ref="A39:D50"/>
    <mergeCell ref="E39:E40"/>
    <mergeCell ref="F39:M39"/>
    <mergeCell ref="F40:G40"/>
    <mergeCell ref="H40:I40"/>
    <mergeCell ref="J40:K40"/>
    <mergeCell ref="L40:M40"/>
    <mergeCell ref="A12:A36"/>
    <mergeCell ref="B12:B15"/>
    <mergeCell ref="B16:B19"/>
    <mergeCell ref="G16:H16"/>
    <mergeCell ref="F41:G41"/>
    <mergeCell ref="H41:I41"/>
    <mergeCell ref="J41:K41"/>
    <mergeCell ref="L41:M41"/>
    <mergeCell ref="A52:D59"/>
    <mergeCell ref="E52:G59"/>
    <mergeCell ref="H52:J59"/>
    <mergeCell ref="K52:M59"/>
  </mergeCells>
  <phoneticPr fontId="1" type="noConversion"/>
  <conditionalFormatting sqref="F43:G50">
    <cfRule type="expression" dxfId="12" priority="12">
      <formula>0</formula>
    </cfRule>
  </conditionalFormatting>
  <conditionalFormatting sqref="I7">
    <cfRule type="expression" dxfId="11" priority="13">
      <formula>$I$7=0</formula>
    </cfRule>
  </conditionalFormatting>
  <conditionalFormatting sqref="L8:M8">
    <cfRule type="expression" dxfId="10" priority="11">
      <formula>$L$8=0</formula>
    </cfRule>
  </conditionalFormatting>
  <conditionalFormatting sqref="H43:H50">
    <cfRule type="expression" dxfId="9" priority="10">
      <formula>0</formula>
    </cfRule>
  </conditionalFormatting>
  <conditionalFormatting sqref="J43:J50">
    <cfRule type="expression" dxfId="8" priority="9">
      <formula>0</formula>
    </cfRule>
  </conditionalFormatting>
  <conditionalFormatting sqref="I43:I50">
    <cfRule type="expression" dxfId="7" priority="8">
      <formula>0</formula>
    </cfRule>
  </conditionalFormatting>
  <conditionalFormatting sqref="K43:K50">
    <cfRule type="expression" dxfId="6" priority="7">
      <formula>0</formula>
    </cfRule>
  </conditionalFormatting>
  <conditionalFormatting sqref="A1">
    <cfRule type="duplicateValues" dxfId="5" priority="6"/>
  </conditionalFormatting>
  <conditionalFormatting sqref="A39:D50">
    <cfRule type="expression" dxfId="4" priority="5">
      <formula>$A$39=0</formula>
    </cfRule>
  </conditionalFormatting>
  <conditionalFormatting sqref="A52:D59">
    <cfRule type="expression" dxfId="3" priority="4">
      <formula>$A$52=0</formula>
    </cfRule>
  </conditionalFormatting>
  <conditionalFormatting sqref="E52:G59">
    <cfRule type="expression" dxfId="2" priority="3">
      <formula>E52=0</formula>
    </cfRule>
  </conditionalFormatting>
  <conditionalFormatting sqref="H52:J59">
    <cfRule type="expression" dxfId="1" priority="2">
      <formula>H52=0</formula>
    </cfRule>
  </conditionalFormatting>
  <conditionalFormatting sqref="K52:M59">
    <cfRule type="expression" dxfId="0" priority="1">
      <formula>K52=0</formula>
    </cfRule>
  </conditionalFormatting>
  <pageMargins left="0.25" right="0.25" top="0.75" bottom="0.75" header="0.3" footer="0.3"/>
  <pageSetup paperSize="9" scale="70" orientation="portrait"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D6EF29-85BB-4AE5-BE3D-C7B6AB2F39D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4</vt:i4>
      </vt:variant>
    </vt:vector>
  </HeadingPairs>
  <TitlesOfParts>
    <vt:vector size="12" baseType="lpstr">
      <vt:lpstr>BOM_개발품목</vt:lpstr>
      <vt:lpstr>실험의뢰_장진영</vt:lpstr>
      <vt:lpstr>실험지시_김도균</vt:lpstr>
      <vt:lpstr>품목별_CT_중량_치수</vt:lpstr>
      <vt:lpstr>성형조건표_출력</vt:lpstr>
      <vt:lpstr>작업자_실험지시</vt:lpstr>
      <vt:lpstr>라벨</vt:lpstr>
      <vt:lpstr>출력_vba</vt:lpstr>
      <vt:lpstr>라벨!Print_Area</vt:lpstr>
      <vt:lpstr>성형조건표_출력!Print_Area</vt:lpstr>
      <vt:lpstr>작업자_실험지시!Print_Area</vt:lpstr>
      <vt:lpstr>출력_vba!Print_Area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김 유미</dc:creator>
  <cp:lastModifiedBy>이 성인</cp:lastModifiedBy>
  <cp:lastPrinted>2026-07-24T03:15:26Z</cp:lastPrinted>
  <dcterms:created xsi:type="dcterms:W3CDTF">2024-10-06T13:20:21Z</dcterms:created>
  <dcterms:modified xsi:type="dcterms:W3CDTF">2026-08-27T01:34:52Z</dcterms:modified>
</cp:coreProperties>
</file>